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comments24.xml" ContentType="application/vnd.openxmlformats-officedocument.spreadsheetml.comments+xml"/>
  <Override PartName="/xl/drawings/drawing25.xml" ContentType="application/vnd.openxmlformats-officedocument.drawing+xml"/>
  <Override PartName="/xl/comments25.xml" ContentType="application/vnd.openxmlformats-officedocument.spreadsheetml.comments+xml"/>
  <Override PartName="/xl/drawings/drawing26.xml" ContentType="application/vnd.openxmlformats-officedocument.drawing+xml"/>
  <Override PartName="/xl/comments26.xml" ContentType="application/vnd.openxmlformats-officedocument.spreadsheetml.comments+xml"/>
  <Override PartName="/xl/drawings/drawing27.xml" ContentType="application/vnd.openxmlformats-officedocument.drawing+xml"/>
  <Override PartName="/xl/comments27.xml" ContentType="application/vnd.openxmlformats-officedocument.spreadsheetml.comments+xml"/>
  <Override PartName="/xl/drawings/drawing28.xml" ContentType="application/vnd.openxmlformats-officedocument.drawing+xml"/>
  <Override PartName="/xl/comments28.xml" ContentType="application/vnd.openxmlformats-officedocument.spreadsheetml.comments+xml"/>
  <Override PartName="/xl/drawings/drawing29.xml" ContentType="application/vnd.openxmlformats-officedocument.drawing+xml"/>
  <Override PartName="/xl/comments29.xml" ContentType="application/vnd.openxmlformats-officedocument.spreadsheetml.comments+xml"/>
  <Override PartName="/xl/drawings/drawing30.xml" ContentType="application/vnd.openxmlformats-officedocument.drawing+xml"/>
  <Override PartName="/xl/comments30.xml" ContentType="application/vnd.openxmlformats-officedocument.spreadsheetml.comments+xml"/>
  <Override PartName="/xl/drawings/drawing31.xml" ContentType="application/vnd.openxmlformats-officedocument.drawing+xml"/>
  <Override PartName="/xl/comments31.xml" ContentType="application/vnd.openxmlformats-officedocument.spreadsheetml.comments+xml"/>
  <Override PartName="/xl/drawings/drawing32.xml" ContentType="application/vnd.openxmlformats-officedocument.drawing+xml"/>
  <Override PartName="/xl/comments32.xml" ContentType="application/vnd.openxmlformats-officedocument.spreadsheetml.comments+xml"/>
  <Override PartName="/xl/drawings/drawing33.xml" ContentType="application/vnd.openxmlformats-officedocument.drawing+xml"/>
  <Override PartName="/xl/comments33.xml" ContentType="application/vnd.openxmlformats-officedocument.spreadsheetml.comments+xml"/>
  <Override PartName="/xl/drawings/drawing34.xml" ContentType="application/vnd.openxmlformats-officedocument.drawing+xml"/>
  <Override PartName="/xl/comments34.xml" ContentType="application/vnd.openxmlformats-officedocument.spreadsheetml.comments+xml"/>
  <Override PartName="/xl/drawings/drawing35.xml" ContentType="application/vnd.openxmlformats-officedocument.drawing+xml"/>
  <Override PartName="/xl/comments35.xml" ContentType="application/vnd.openxmlformats-officedocument.spreadsheetml.comments+xml"/>
  <Override PartName="/xl/drawings/drawing36.xml" ContentType="application/vnd.openxmlformats-officedocument.drawing+xml"/>
  <Override PartName="/xl/comments36.xml" ContentType="application/vnd.openxmlformats-officedocument.spreadsheetml.comments+xml"/>
  <Override PartName="/xl/drawings/drawing37.xml" ContentType="application/vnd.openxmlformats-officedocument.drawing+xml"/>
  <Override PartName="/xl/comments37.xml" ContentType="application/vnd.openxmlformats-officedocument.spreadsheetml.comments+xml"/>
  <Override PartName="/xl/drawings/drawing38.xml" ContentType="application/vnd.openxmlformats-officedocument.drawing+xml"/>
  <Override PartName="/xl/comments38.xml" ContentType="application/vnd.openxmlformats-officedocument.spreadsheetml.comments+xml"/>
  <Override PartName="/xl/drawings/drawing39.xml" ContentType="application/vnd.openxmlformats-officedocument.drawing+xml"/>
  <Override PartName="/xl/comments39.xml" ContentType="application/vnd.openxmlformats-officedocument.spreadsheetml.comments+xml"/>
  <Override PartName="/xl/drawings/drawing40.xml" ContentType="application/vnd.openxmlformats-officedocument.drawing+xml"/>
  <Override PartName="/xl/comments40.xml" ContentType="application/vnd.openxmlformats-officedocument.spreadsheetml.comments+xml"/>
  <Override PartName="/xl/drawings/drawing41.xml" ContentType="application/vnd.openxmlformats-officedocument.drawing+xml"/>
  <Override PartName="/xl/comments41.xml" ContentType="application/vnd.openxmlformats-officedocument.spreadsheetml.comments+xml"/>
  <Override PartName="/xl/drawings/drawing42.xml" ContentType="application/vnd.openxmlformats-officedocument.drawing+xml"/>
  <Override PartName="/xl/comments42.xml" ContentType="application/vnd.openxmlformats-officedocument.spreadsheetml.comments+xml"/>
  <Override PartName="/xl/drawings/drawing43.xml" ContentType="application/vnd.openxmlformats-officedocument.drawing+xml"/>
  <Override PartName="/xl/comments43.xml" ContentType="application/vnd.openxmlformats-officedocument.spreadsheetml.comments+xml"/>
  <Override PartName="/xl/drawings/drawing44.xml" ContentType="application/vnd.openxmlformats-officedocument.drawing+xml"/>
  <Override PartName="/xl/comments44.xml" ContentType="application/vnd.openxmlformats-officedocument.spreadsheetml.comments+xml"/>
  <Override PartName="/xl/drawings/drawing45.xml" ContentType="application/vnd.openxmlformats-officedocument.drawing+xml"/>
  <Override PartName="/xl/comments45.xml" ContentType="application/vnd.openxmlformats-officedocument.spreadsheetml.comments+xml"/>
  <Override PartName="/xl/drawings/drawing46.xml" ContentType="application/vnd.openxmlformats-officedocument.drawing+xml"/>
  <Override PartName="/xl/comments46.xml" ContentType="application/vnd.openxmlformats-officedocument.spreadsheetml.comments+xml"/>
  <Override PartName="/xl/drawings/drawing47.xml" ContentType="application/vnd.openxmlformats-officedocument.drawing+xml"/>
  <Override PartName="/xl/comments47.xml" ContentType="application/vnd.openxmlformats-officedocument.spreadsheetml.comments+xml"/>
  <Override PartName="/xl/drawings/drawing48.xml" ContentType="application/vnd.openxmlformats-officedocument.drawing+xml"/>
  <Override PartName="/xl/comments48.xml" ContentType="application/vnd.openxmlformats-officedocument.spreadsheetml.comments+xml"/>
  <Override PartName="/xl/drawings/drawing49.xml" ContentType="application/vnd.openxmlformats-officedocument.drawing+xml"/>
  <Override PartName="/xl/comments49.xml" ContentType="application/vnd.openxmlformats-officedocument.spreadsheetml.comments+xml"/>
  <Override PartName="/xl/drawings/drawing50.xml" ContentType="application/vnd.openxmlformats-officedocument.drawing+xml"/>
  <Override PartName="/xl/comments50.xml" ContentType="application/vnd.openxmlformats-officedocument.spreadsheetml.comments+xml"/>
  <Override PartName="/xl/drawings/drawing51.xml" ContentType="application/vnd.openxmlformats-officedocument.drawing+xml"/>
  <Override PartName="/xl/comments51.xml" ContentType="application/vnd.openxmlformats-officedocument.spreadsheetml.comments+xml"/>
  <Override PartName="/xl/drawings/drawing52.xml" ContentType="application/vnd.openxmlformats-officedocument.drawing+xml"/>
  <Override PartName="/xl/comments52.xml" ContentType="application/vnd.openxmlformats-officedocument.spreadsheetml.comments+xml"/>
  <Override PartName="/xl/drawings/drawing53.xml" ContentType="application/vnd.openxmlformats-officedocument.drawing+xml"/>
  <Override PartName="/xl/comments53.xml" ContentType="application/vnd.openxmlformats-officedocument.spreadsheetml.comments+xml"/>
  <Override PartName="/xl/drawings/drawing54.xml" ContentType="application/vnd.openxmlformats-officedocument.drawing+xml"/>
  <Override PartName="/xl/comments54.xml" ContentType="application/vnd.openxmlformats-officedocument.spreadsheetml.comments+xml"/>
  <Override PartName="/xl/drawings/drawing55.xml" ContentType="application/vnd.openxmlformats-officedocument.drawing+xml"/>
  <Override PartName="/xl/comments55.xml" ContentType="application/vnd.openxmlformats-officedocument.spreadsheetml.comments+xml"/>
  <Override PartName="/xl/drawings/drawing56.xml" ContentType="application/vnd.openxmlformats-officedocument.drawing+xml"/>
  <Override PartName="/xl/comments56.xml" ContentType="application/vnd.openxmlformats-officedocument.spreadsheetml.comments+xml"/>
  <Override PartName="/xl/drawings/drawing57.xml" ContentType="application/vnd.openxmlformats-officedocument.drawing+xml"/>
  <Override PartName="/xl/comments57.xml" ContentType="application/vnd.openxmlformats-officedocument.spreadsheetml.comments+xml"/>
  <Override PartName="/xl/drawings/drawing58.xml" ContentType="application/vnd.openxmlformats-officedocument.drawing+xml"/>
  <Override PartName="/xl/comments58.xml" ContentType="application/vnd.openxmlformats-officedocument.spreadsheetml.comments+xml"/>
  <Override PartName="/xl/drawings/drawing59.xml" ContentType="application/vnd.openxmlformats-officedocument.drawing+xml"/>
  <Override PartName="/xl/comments59.xml" ContentType="application/vnd.openxmlformats-officedocument.spreadsheetml.comments+xml"/>
  <Override PartName="/xl/drawings/drawing60.xml" ContentType="application/vnd.openxmlformats-officedocument.drawing+xml"/>
  <Override PartName="/xl/comments60.xml" ContentType="application/vnd.openxmlformats-officedocument.spreadsheetml.comments+xml"/>
  <Override PartName="/xl/drawings/drawing61.xml" ContentType="application/vnd.openxmlformats-officedocument.drawing+xml"/>
  <Override PartName="/xl/comments61.xml" ContentType="application/vnd.openxmlformats-officedocument.spreadsheetml.comments+xml"/>
  <Override PartName="/xl/drawings/drawing62.xml" ContentType="application/vnd.openxmlformats-officedocument.drawing+xml"/>
  <Override PartName="/xl/comments62.xml" ContentType="application/vnd.openxmlformats-officedocument.spreadsheetml.comments+xml"/>
  <Override PartName="/xl/drawings/drawing63.xml" ContentType="application/vnd.openxmlformats-officedocument.drawing+xml"/>
  <Override PartName="/xl/comments63.xml" ContentType="application/vnd.openxmlformats-officedocument.spreadsheetml.comments+xml"/>
  <Override PartName="/xl/drawings/drawing64.xml" ContentType="application/vnd.openxmlformats-officedocument.drawing+xml"/>
  <Override PartName="/xl/comments64.xml" ContentType="application/vnd.openxmlformats-officedocument.spreadsheetml.comments+xml"/>
  <Override PartName="/xl/drawings/drawing65.xml" ContentType="application/vnd.openxmlformats-officedocument.drawing+xml"/>
  <Override PartName="/xl/comments65.xml" ContentType="application/vnd.openxmlformats-officedocument.spreadsheetml.comments+xml"/>
  <Override PartName="/xl/drawings/drawing66.xml" ContentType="application/vnd.openxmlformats-officedocument.drawing+xml"/>
  <Override PartName="/xl/comments66.xml" ContentType="application/vnd.openxmlformats-officedocument.spreadsheetml.comments+xml"/>
  <Override PartName="/xl/drawings/drawing67.xml" ContentType="application/vnd.openxmlformats-officedocument.drawing+xml"/>
  <Override PartName="/xl/comments67.xml" ContentType="application/vnd.openxmlformats-officedocument.spreadsheetml.comments+xml"/>
  <Override PartName="/xl/drawings/drawing68.xml" ContentType="application/vnd.openxmlformats-officedocument.drawing+xml"/>
  <Override PartName="/xl/comments68.xml" ContentType="application/vnd.openxmlformats-officedocument.spreadsheetml.comments+xml"/>
  <Override PartName="/xl/drawings/drawing69.xml" ContentType="application/vnd.openxmlformats-officedocument.drawing+xml"/>
  <Override PartName="/xl/comments69.xml" ContentType="application/vnd.openxmlformats-officedocument.spreadsheetml.comments+xml"/>
  <Override PartName="/xl/drawings/drawing70.xml" ContentType="application/vnd.openxmlformats-officedocument.drawing+xml"/>
  <Override PartName="/xl/comments70.xml" ContentType="application/vnd.openxmlformats-officedocument.spreadsheetml.comments+xml"/>
  <Override PartName="/xl/drawings/drawing71.xml" ContentType="application/vnd.openxmlformats-officedocument.drawing+xml"/>
  <Override PartName="/xl/comments71.xml" ContentType="application/vnd.openxmlformats-officedocument.spreadsheetml.comments+xml"/>
  <Override PartName="/xl/drawings/drawing72.xml" ContentType="application/vnd.openxmlformats-officedocument.drawing+xml"/>
  <Override PartName="/xl/comments72.xml" ContentType="application/vnd.openxmlformats-officedocument.spreadsheetml.comments+xml"/>
  <Override PartName="/xl/drawings/drawing73.xml" ContentType="application/vnd.openxmlformats-officedocument.drawing+xml"/>
  <Override PartName="/xl/comments73.xml" ContentType="application/vnd.openxmlformats-officedocument.spreadsheetml.comments+xml"/>
  <Override PartName="/xl/drawings/drawing74.xml" ContentType="application/vnd.openxmlformats-officedocument.drawing+xml"/>
  <Override PartName="/xl/comments74.xml" ContentType="application/vnd.openxmlformats-officedocument.spreadsheetml.comments+xml"/>
  <Override PartName="/xl/drawings/drawing75.xml" ContentType="application/vnd.openxmlformats-officedocument.drawing+xml"/>
  <Override PartName="/xl/comments75.xml" ContentType="application/vnd.openxmlformats-officedocument.spreadsheetml.comments+xml"/>
  <Override PartName="/xl/drawings/drawing76.xml" ContentType="application/vnd.openxmlformats-officedocument.drawing+xml"/>
  <Override PartName="/xl/comments76.xml" ContentType="application/vnd.openxmlformats-officedocument.spreadsheetml.comments+xml"/>
  <Override PartName="/xl/drawings/drawing77.xml" ContentType="application/vnd.openxmlformats-officedocument.drawing+xml"/>
  <Override PartName="/xl/comments77.xml" ContentType="application/vnd.openxmlformats-officedocument.spreadsheetml.comments+xml"/>
  <Override PartName="/xl/drawings/drawing78.xml" ContentType="application/vnd.openxmlformats-officedocument.drawing+xml"/>
  <Override PartName="/xl/comments78.xml" ContentType="application/vnd.openxmlformats-officedocument.spreadsheetml.comments+xml"/>
  <Override PartName="/xl/drawings/drawing79.xml" ContentType="application/vnd.openxmlformats-officedocument.drawing+xml"/>
  <Override PartName="/xl/comments79.xml" ContentType="application/vnd.openxmlformats-officedocument.spreadsheetml.comments+xml"/>
  <Override PartName="/xl/drawings/drawing80.xml" ContentType="application/vnd.openxmlformats-officedocument.drawing+xml"/>
  <Override PartName="/xl/comments80.xml" ContentType="application/vnd.openxmlformats-officedocument.spreadsheetml.comments+xml"/>
  <Override PartName="/xl/drawings/drawing81.xml" ContentType="application/vnd.openxmlformats-officedocument.drawing+xml"/>
  <Override PartName="/xl/comments81.xml" ContentType="application/vnd.openxmlformats-officedocument.spreadsheetml.comments+xml"/>
  <Override PartName="/xl/drawings/drawing82.xml" ContentType="application/vnd.openxmlformats-officedocument.drawing+xml"/>
  <Override PartName="/xl/comments82.xml" ContentType="application/vnd.openxmlformats-officedocument.spreadsheetml.comments+xml"/>
  <Override PartName="/xl/drawings/drawing83.xml" ContentType="application/vnd.openxmlformats-officedocument.drawing+xml"/>
  <Override PartName="/xl/comments83.xml" ContentType="application/vnd.openxmlformats-officedocument.spreadsheetml.comments+xml"/>
  <Override PartName="/xl/drawings/drawing84.xml" ContentType="application/vnd.openxmlformats-officedocument.drawing+xml"/>
  <Override PartName="/xl/comments84.xml" ContentType="application/vnd.openxmlformats-officedocument.spreadsheetml.comments+xml"/>
  <Override PartName="/xl/drawings/drawing85.xml" ContentType="application/vnd.openxmlformats-officedocument.drawing+xml"/>
  <Override PartName="/xl/comments85.xml" ContentType="application/vnd.openxmlformats-officedocument.spreadsheetml.comments+xml"/>
  <Override PartName="/xl/drawings/drawing86.xml" ContentType="application/vnd.openxmlformats-officedocument.drawing+xml"/>
  <Override PartName="/xl/comments86.xml" ContentType="application/vnd.openxmlformats-officedocument.spreadsheetml.comments+xml"/>
  <Override PartName="/xl/drawings/drawing87.xml" ContentType="application/vnd.openxmlformats-officedocument.drawing+xml"/>
  <Override PartName="/xl/comments87.xml" ContentType="application/vnd.openxmlformats-officedocument.spreadsheetml.comments+xml"/>
  <Override PartName="/xl/drawings/drawing88.xml" ContentType="application/vnd.openxmlformats-officedocument.drawing+xml"/>
  <Override PartName="/xl/comments88.xml" ContentType="application/vnd.openxmlformats-officedocument.spreadsheetml.comments+xml"/>
  <Override PartName="/xl/drawings/drawing89.xml" ContentType="application/vnd.openxmlformats-officedocument.drawing+xml"/>
  <Override PartName="/xl/comments89.xml" ContentType="application/vnd.openxmlformats-officedocument.spreadsheetml.comments+xml"/>
  <Override PartName="/xl/drawings/drawing90.xml" ContentType="application/vnd.openxmlformats-officedocument.drawing+xml"/>
  <Override PartName="/xl/comments90.xml" ContentType="application/vnd.openxmlformats-officedocument.spreadsheetml.comments+xml"/>
  <Override PartName="/xl/drawings/drawing91.xml" ContentType="application/vnd.openxmlformats-officedocument.drawing+xml"/>
  <Override PartName="/xl/comments91.xml" ContentType="application/vnd.openxmlformats-officedocument.spreadsheetml.comments+xml"/>
  <Override PartName="/xl/drawings/drawing92.xml" ContentType="application/vnd.openxmlformats-officedocument.drawing+xml"/>
  <Override PartName="/xl/comments92.xml" ContentType="application/vnd.openxmlformats-officedocument.spreadsheetml.comments+xml"/>
  <Override PartName="/xl/drawings/drawing93.xml" ContentType="application/vnd.openxmlformats-officedocument.drawing+xml"/>
  <Override PartName="/xl/comments93.xml" ContentType="application/vnd.openxmlformats-officedocument.spreadsheetml.comments+xml"/>
  <Override PartName="/xl/drawings/drawing94.xml" ContentType="application/vnd.openxmlformats-officedocument.drawing+xml"/>
  <Override PartName="/xl/comments94.xml" ContentType="application/vnd.openxmlformats-officedocument.spreadsheetml.comments+xml"/>
  <Override PartName="/xl/drawings/drawing95.xml" ContentType="application/vnd.openxmlformats-officedocument.drawing+xml"/>
  <Override PartName="/xl/comments95.xml" ContentType="application/vnd.openxmlformats-officedocument.spreadsheetml.comments+xml"/>
  <Override PartName="/xl/drawings/drawing96.xml" ContentType="application/vnd.openxmlformats-officedocument.drawing+xml"/>
  <Override PartName="/xl/comments96.xml" ContentType="application/vnd.openxmlformats-officedocument.spreadsheetml.comments+xml"/>
  <Override PartName="/xl/drawings/drawing97.xml" ContentType="application/vnd.openxmlformats-officedocument.drawing+xml"/>
  <Override PartName="/xl/comments97.xml" ContentType="application/vnd.openxmlformats-officedocument.spreadsheetml.comments+xml"/>
  <Override PartName="/xl/drawings/drawing98.xml" ContentType="application/vnd.openxmlformats-officedocument.drawing+xml"/>
  <Override PartName="/xl/comments98.xml" ContentType="application/vnd.openxmlformats-officedocument.spreadsheetml.comments+xml"/>
  <Override PartName="/xl/drawings/drawing99.xml" ContentType="application/vnd.openxmlformats-officedocument.drawing+xml"/>
  <Override PartName="/xl/comments99.xml" ContentType="application/vnd.openxmlformats-officedocument.spreadsheetml.comments+xml"/>
  <Override PartName="/xl/drawings/drawing100.xml" ContentType="application/vnd.openxmlformats-officedocument.drawing+xml"/>
  <Override PartName="/xl/comments100.xml" ContentType="application/vnd.openxmlformats-officedocument.spreadsheetml.comments+xml"/>
  <Override PartName="/xl/drawings/drawing101.xml" ContentType="application/vnd.openxmlformats-officedocument.drawing+xml"/>
  <Override PartName="/xl/comments101.xml" ContentType="application/vnd.openxmlformats-officedocument.spreadsheetml.comments+xml"/>
  <Override PartName="/xl/drawings/drawing102.xml" ContentType="application/vnd.openxmlformats-officedocument.drawing+xml"/>
  <Override PartName="/xl/comments102.xml" ContentType="application/vnd.openxmlformats-officedocument.spreadsheetml.comments+xml"/>
  <Override PartName="/xl/drawings/drawing103.xml" ContentType="application/vnd.openxmlformats-officedocument.drawing+xml"/>
  <Override PartName="/xl/comments103.xml" ContentType="application/vnd.openxmlformats-officedocument.spreadsheetml.comments+xml"/>
  <Override PartName="/xl/drawings/drawing104.xml" ContentType="application/vnd.openxmlformats-officedocument.drawing+xml"/>
  <Override PartName="/xl/comments104.xml" ContentType="application/vnd.openxmlformats-officedocument.spreadsheetml.comments+xml"/>
  <Override PartName="/xl/drawings/drawing105.xml" ContentType="application/vnd.openxmlformats-officedocument.drawing+xml"/>
  <Override PartName="/xl/comments105.xml" ContentType="application/vnd.openxmlformats-officedocument.spreadsheetml.comments+xml"/>
  <Override PartName="/xl/drawings/drawing106.xml" ContentType="application/vnd.openxmlformats-officedocument.drawing+xml"/>
  <Override PartName="/xl/comments106.xml" ContentType="application/vnd.openxmlformats-officedocument.spreadsheetml.comments+xml"/>
  <Override PartName="/xl/drawings/drawing107.xml" ContentType="application/vnd.openxmlformats-officedocument.drawing+xml"/>
  <Override PartName="/xl/comments107.xml" ContentType="application/vnd.openxmlformats-officedocument.spreadsheetml.comments+xml"/>
  <Override PartName="/xl/drawings/drawing108.xml" ContentType="application/vnd.openxmlformats-officedocument.drawing+xml"/>
  <Override PartName="/xl/comments108.xml" ContentType="application/vnd.openxmlformats-officedocument.spreadsheetml.comments+xml"/>
  <Override PartName="/xl/drawings/drawing109.xml" ContentType="application/vnd.openxmlformats-officedocument.drawing+xml"/>
  <Override PartName="/xl/comments109.xml" ContentType="application/vnd.openxmlformats-officedocument.spreadsheetml.comments+xml"/>
  <Override PartName="/xl/drawings/drawing110.xml" ContentType="application/vnd.openxmlformats-officedocument.drawing+xml"/>
  <Override PartName="/xl/comments110.xml" ContentType="application/vnd.openxmlformats-officedocument.spreadsheetml.comments+xml"/>
  <Override PartName="/xl/drawings/drawing111.xml" ContentType="application/vnd.openxmlformats-officedocument.drawing+xml"/>
  <Override PartName="/xl/comments111.xml" ContentType="application/vnd.openxmlformats-officedocument.spreadsheetml.comments+xml"/>
  <Override PartName="/xl/drawings/drawing112.xml" ContentType="application/vnd.openxmlformats-officedocument.drawing+xml"/>
  <Override PartName="/xl/comments112.xml" ContentType="application/vnd.openxmlformats-officedocument.spreadsheetml.comments+xml"/>
  <Override PartName="/xl/drawings/drawing113.xml" ContentType="application/vnd.openxmlformats-officedocument.drawing+xml"/>
  <Override PartName="/xl/comments113.xml" ContentType="application/vnd.openxmlformats-officedocument.spreadsheetml.comments+xml"/>
  <Override PartName="/xl/drawings/drawing114.xml" ContentType="application/vnd.openxmlformats-officedocument.drawing+xml"/>
  <Override PartName="/xl/comments114.xml" ContentType="application/vnd.openxmlformats-officedocument.spreadsheetml.comments+xml"/>
  <Override PartName="/xl/drawings/drawing115.xml" ContentType="application/vnd.openxmlformats-officedocument.drawing+xml"/>
  <Override PartName="/xl/comments115.xml" ContentType="application/vnd.openxmlformats-officedocument.spreadsheetml.comments+xml"/>
  <Override PartName="/xl/drawings/drawing116.xml" ContentType="application/vnd.openxmlformats-officedocument.drawing+xml"/>
  <Override PartName="/xl/comments116.xml" ContentType="application/vnd.openxmlformats-officedocument.spreadsheetml.comments+xml"/>
  <Override PartName="/xl/drawings/drawing117.xml" ContentType="application/vnd.openxmlformats-officedocument.drawing+xml"/>
  <Override PartName="/xl/comments117.xml" ContentType="application/vnd.openxmlformats-officedocument.spreadsheetml.comments+xml"/>
  <Override PartName="/xl/drawings/drawing118.xml" ContentType="application/vnd.openxmlformats-officedocument.drawing+xml"/>
  <Override PartName="/xl/comments118.xml" ContentType="application/vnd.openxmlformats-officedocument.spreadsheetml.comments+xml"/>
  <Override PartName="/xl/drawings/drawing119.xml" ContentType="application/vnd.openxmlformats-officedocument.drawing+xml"/>
  <Override PartName="/xl/comments119.xml" ContentType="application/vnd.openxmlformats-officedocument.spreadsheetml.comments+xml"/>
  <Override PartName="/xl/drawings/drawing120.xml" ContentType="application/vnd.openxmlformats-officedocument.drawing+xml"/>
  <Override PartName="/xl/comments120.xml" ContentType="application/vnd.openxmlformats-officedocument.spreadsheetml.comments+xml"/>
  <Override PartName="/xl/drawings/drawing121.xml" ContentType="application/vnd.openxmlformats-officedocument.drawing+xml"/>
  <Override PartName="/xl/comments121.xml" ContentType="application/vnd.openxmlformats-officedocument.spreadsheetml.comments+xml"/>
  <Override PartName="/xl/drawings/drawing122.xml" ContentType="application/vnd.openxmlformats-officedocument.drawing+xml"/>
  <Override PartName="/xl/comments122.xml" ContentType="application/vnd.openxmlformats-officedocument.spreadsheetml.comments+xml"/>
  <Override PartName="/xl/drawings/drawing123.xml" ContentType="application/vnd.openxmlformats-officedocument.drawing+xml"/>
  <Override PartName="/xl/comments123.xml" ContentType="application/vnd.openxmlformats-officedocument.spreadsheetml.comments+xml"/>
  <Override PartName="/xl/drawings/drawing124.xml" ContentType="application/vnd.openxmlformats-officedocument.drawing+xml"/>
  <Override PartName="/xl/comments124.xml" ContentType="application/vnd.openxmlformats-officedocument.spreadsheetml.comments+xml"/>
  <Override PartName="/xl/drawings/drawing125.xml" ContentType="application/vnd.openxmlformats-officedocument.drawing+xml"/>
  <Override PartName="/xl/comments125.xml" ContentType="application/vnd.openxmlformats-officedocument.spreadsheetml.comments+xml"/>
  <Override PartName="/xl/drawings/drawing126.xml" ContentType="application/vnd.openxmlformats-officedocument.drawing+xml"/>
  <Override PartName="/xl/comments126.xml" ContentType="application/vnd.openxmlformats-officedocument.spreadsheetml.comments+xml"/>
  <Override PartName="/xl/drawings/drawing127.xml" ContentType="application/vnd.openxmlformats-officedocument.drawing+xml"/>
  <Override PartName="/xl/comments127.xml" ContentType="application/vnd.openxmlformats-officedocument.spreadsheetml.comments+xml"/>
  <Override PartName="/xl/drawings/drawing128.xml" ContentType="application/vnd.openxmlformats-officedocument.drawing+xml"/>
  <Override PartName="/xl/comments128.xml" ContentType="application/vnd.openxmlformats-officedocument.spreadsheetml.comments+xml"/>
  <Override PartName="/xl/drawings/drawing129.xml" ContentType="application/vnd.openxmlformats-officedocument.drawing+xml"/>
  <Override PartName="/xl/comments129.xml" ContentType="application/vnd.openxmlformats-officedocument.spreadsheetml.comments+xml"/>
  <Override PartName="/xl/drawings/drawing130.xml" ContentType="application/vnd.openxmlformats-officedocument.drawing+xml"/>
  <Override PartName="/xl/comments130.xml" ContentType="application/vnd.openxmlformats-officedocument.spreadsheetml.comments+xml"/>
  <Override PartName="/xl/drawings/drawing131.xml" ContentType="application/vnd.openxmlformats-officedocument.drawing+xml"/>
  <Override PartName="/xl/comments131.xml" ContentType="application/vnd.openxmlformats-officedocument.spreadsheetml.comments+xml"/>
  <Override PartName="/xl/drawings/drawing132.xml" ContentType="application/vnd.openxmlformats-officedocument.drawing+xml"/>
  <Override PartName="/xl/comments132.xml" ContentType="application/vnd.openxmlformats-officedocument.spreadsheetml.comments+xml"/>
  <Override PartName="/xl/drawings/drawing133.xml" ContentType="application/vnd.openxmlformats-officedocument.drawing+xml"/>
  <Override PartName="/xl/comments133.xml" ContentType="application/vnd.openxmlformats-officedocument.spreadsheetml.comments+xml"/>
  <Override PartName="/xl/drawings/drawing134.xml" ContentType="application/vnd.openxmlformats-officedocument.drawing+xml"/>
  <Override PartName="/xl/comments134.xml" ContentType="application/vnd.openxmlformats-officedocument.spreadsheetml.comments+xml"/>
  <Override PartName="/xl/drawings/drawing135.xml" ContentType="application/vnd.openxmlformats-officedocument.drawing+xml"/>
  <Override PartName="/xl/comments135.xml" ContentType="application/vnd.openxmlformats-officedocument.spreadsheetml.comments+xml"/>
  <Override PartName="/xl/drawings/drawing136.xml" ContentType="application/vnd.openxmlformats-officedocument.drawing+xml"/>
  <Override PartName="/xl/comments136.xml" ContentType="application/vnd.openxmlformats-officedocument.spreadsheetml.comments+xml"/>
  <Override PartName="/xl/drawings/drawing137.xml" ContentType="application/vnd.openxmlformats-officedocument.drawing+xml"/>
  <Override PartName="/xl/comments137.xml" ContentType="application/vnd.openxmlformats-officedocument.spreadsheetml.comments+xml"/>
  <Override PartName="/xl/drawings/drawing138.xml" ContentType="application/vnd.openxmlformats-officedocument.drawing+xml"/>
  <Override PartName="/xl/comments138.xml" ContentType="application/vnd.openxmlformats-officedocument.spreadsheetml.comments+xml"/>
  <Override PartName="/xl/drawings/drawing139.xml" ContentType="application/vnd.openxmlformats-officedocument.drawing+xml"/>
  <Override PartName="/xl/comments139.xml" ContentType="application/vnd.openxmlformats-officedocument.spreadsheetml.comments+xml"/>
  <Override PartName="/xl/drawings/drawing140.xml" ContentType="application/vnd.openxmlformats-officedocument.drawing+xml"/>
  <Override PartName="/xl/comments140.xml" ContentType="application/vnd.openxmlformats-officedocument.spreadsheetml.comments+xml"/>
  <Override PartName="/xl/drawings/drawing141.xml" ContentType="application/vnd.openxmlformats-officedocument.drawing+xml"/>
  <Override PartName="/xl/comments141.xml" ContentType="application/vnd.openxmlformats-officedocument.spreadsheetml.comments+xml"/>
  <Override PartName="/xl/drawings/drawing142.xml" ContentType="application/vnd.openxmlformats-officedocument.drawing+xml"/>
  <Override PartName="/xl/comments142.xml" ContentType="application/vnd.openxmlformats-officedocument.spreadsheetml.comments+xml"/>
  <Override PartName="/xl/drawings/drawing143.xml" ContentType="application/vnd.openxmlformats-officedocument.drawing+xml"/>
  <Override PartName="/xl/comments143.xml" ContentType="application/vnd.openxmlformats-officedocument.spreadsheetml.comments+xml"/>
  <Override PartName="/xl/drawings/drawing144.xml" ContentType="application/vnd.openxmlformats-officedocument.drawing+xml"/>
  <Override PartName="/xl/comments144.xml" ContentType="application/vnd.openxmlformats-officedocument.spreadsheetml.comments+xml"/>
  <Override PartName="/xl/drawings/drawing145.xml" ContentType="application/vnd.openxmlformats-officedocument.drawing+xml"/>
  <Override PartName="/xl/comments145.xml" ContentType="application/vnd.openxmlformats-officedocument.spreadsheetml.comments+xml"/>
  <Override PartName="/xl/drawings/drawing146.xml" ContentType="application/vnd.openxmlformats-officedocument.drawing+xml"/>
  <Override PartName="/xl/comments146.xml" ContentType="application/vnd.openxmlformats-officedocument.spreadsheetml.comments+xml"/>
  <Override PartName="/xl/drawings/drawing147.xml" ContentType="application/vnd.openxmlformats-officedocument.drawing+xml"/>
  <Override PartName="/xl/comments147.xml" ContentType="application/vnd.openxmlformats-officedocument.spreadsheetml.comments+xml"/>
  <Override PartName="/xl/drawings/drawing148.xml" ContentType="application/vnd.openxmlformats-officedocument.drawing+xml"/>
  <Override PartName="/xl/comments148.xml" ContentType="application/vnd.openxmlformats-officedocument.spreadsheetml.comments+xml"/>
  <Override PartName="/xl/drawings/drawing149.xml" ContentType="application/vnd.openxmlformats-officedocument.drawing+xml"/>
  <Override PartName="/xl/comments149.xml" ContentType="application/vnd.openxmlformats-officedocument.spreadsheetml.comments+xml"/>
  <Override PartName="/xl/drawings/drawing150.xml" ContentType="application/vnd.openxmlformats-officedocument.drawing+xml"/>
  <Override PartName="/xl/comments150.xml" ContentType="application/vnd.openxmlformats-officedocument.spreadsheetml.comments+xml"/>
  <Override PartName="/xl/drawings/drawing151.xml" ContentType="application/vnd.openxmlformats-officedocument.drawing+xml"/>
  <Override PartName="/xl/comments151.xml" ContentType="application/vnd.openxmlformats-officedocument.spreadsheetml.comments+xml"/>
  <Override PartName="/xl/drawings/drawing152.xml" ContentType="application/vnd.openxmlformats-officedocument.drawing+xml"/>
  <Override PartName="/xl/comments152.xml" ContentType="application/vnd.openxmlformats-officedocument.spreadsheetml.comments+xml"/>
  <Override PartName="/xl/drawings/drawing153.xml" ContentType="application/vnd.openxmlformats-officedocument.drawing+xml"/>
  <Override PartName="/xl/comments153.xml" ContentType="application/vnd.openxmlformats-officedocument.spreadsheetml.comments+xml"/>
  <Override PartName="/xl/drawings/drawing154.xml" ContentType="application/vnd.openxmlformats-officedocument.drawing+xml"/>
  <Override PartName="/xl/comments154.xml" ContentType="application/vnd.openxmlformats-officedocument.spreadsheetml.comments+xml"/>
  <Override PartName="/xl/drawings/drawing155.xml" ContentType="application/vnd.openxmlformats-officedocument.drawing+xml"/>
  <Override PartName="/xl/comments155.xml" ContentType="application/vnd.openxmlformats-officedocument.spreadsheetml.comments+xml"/>
  <Override PartName="/xl/drawings/drawing156.xml" ContentType="application/vnd.openxmlformats-officedocument.drawing+xml"/>
  <Override PartName="/xl/comments156.xml" ContentType="application/vnd.openxmlformats-officedocument.spreadsheetml.comments+xml"/>
  <Override PartName="/xl/drawings/drawing157.xml" ContentType="application/vnd.openxmlformats-officedocument.drawing+xml"/>
  <Override PartName="/xl/comments157.xml" ContentType="application/vnd.openxmlformats-officedocument.spreadsheetml.comments+xml"/>
  <Override PartName="/xl/drawings/drawing158.xml" ContentType="application/vnd.openxmlformats-officedocument.drawing+xml"/>
  <Override PartName="/xl/comments158.xml" ContentType="application/vnd.openxmlformats-officedocument.spreadsheetml.comments+xml"/>
  <Override PartName="/xl/drawings/drawing159.xml" ContentType="application/vnd.openxmlformats-officedocument.drawing+xml"/>
  <Override PartName="/xl/comments159.xml" ContentType="application/vnd.openxmlformats-officedocument.spreadsheetml.comments+xml"/>
  <Override PartName="/xl/drawings/drawing160.xml" ContentType="application/vnd.openxmlformats-officedocument.drawing+xml"/>
  <Override PartName="/xl/comments16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X:\00 SGC Quality Service\01 Procedimientos y Formatos\07 Contabilidad y Administración\05 Tesoreria\formatos\"/>
    </mc:Choice>
  </mc:AlternateContent>
  <xr:revisionPtr revIDLastSave="0" documentId="13_ncr:1_{CA3C2023-2557-482F-8E26-D4CC0EB027C4}" xr6:coauthVersionLast="47" xr6:coauthVersionMax="47" xr10:uidLastSave="{00000000-0000-0000-0000-000000000000}"/>
  <bookViews>
    <workbookView xWindow="-110" yWindow="-110" windowWidth="19420" windowHeight="10420" firstSheet="159" activeTab="159" xr2:uid="{F774DAA4-3984-48AD-BB68-C0FB53B40B62}"/>
  </bookViews>
  <sheets>
    <sheet name="02-ENE" sheetId="1" state="hidden" r:id="rId1"/>
    <sheet name="03-ENE" sheetId="2" state="hidden" r:id="rId2"/>
    <sheet name="04-ENE" sheetId="3" state="hidden" r:id="rId3"/>
    <sheet name="05-ENE" sheetId="4" state="hidden" r:id="rId4"/>
    <sheet name="08-ENE" sheetId="5" state="hidden" r:id="rId5"/>
    <sheet name="09-ENE" sheetId="6" state="hidden" r:id="rId6"/>
    <sheet name="10-ENE" sheetId="7" state="hidden" r:id="rId7"/>
    <sheet name="11-ENE" sheetId="8" state="hidden" r:id="rId8"/>
    <sheet name="12-ENE" sheetId="9" state="hidden" r:id="rId9"/>
    <sheet name="15-ENE" sheetId="10" state="hidden" r:id="rId10"/>
    <sheet name="16-ENE" sheetId="11" state="hidden" r:id="rId11"/>
    <sheet name="17-ENE" sheetId="12" state="hidden" r:id="rId12"/>
    <sheet name="18-ENE" sheetId="14" state="hidden" r:id="rId13"/>
    <sheet name="19-ENE" sheetId="15" state="hidden" r:id="rId14"/>
    <sheet name="23-ENE" sheetId="16" state="hidden" r:id="rId15"/>
    <sheet name="24-ENE" sheetId="17" state="hidden" r:id="rId16"/>
    <sheet name="25-ENE" sheetId="18" state="hidden" r:id="rId17"/>
    <sheet name="26-ENE" sheetId="19" state="hidden" r:id="rId18"/>
    <sheet name="29-ENE" sheetId="20" state="hidden" r:id="rId19"/>
    <sheet name="30-ENE" sheetId="21" state="hidden" r:id="rId20"/>
    <sheet name="31-ENE" sheetId="22" state="hidden" r:id="rId21"/>
    <sheet name="01-FEB" sheetId="23" state="hidden" r:id="rId22"/>
    <sheet name="02-FEB" sheetId="24" state="hidden" r:id="rId23"/>
    <sheet name="06-FEB" sheetId="25" state="hidden" r:id="rId24"/>
    <sheet name="07-FEB" sheetId="26" state="hidden" r:id="rId25"/>
    <sheet name="08-FEB" sheetId="27" state="hidden" r:id="rId26"/>
    <sheet name="09-FEB" sheetId="28" state="hidden" r:id="rId27"/>
    <sheet name="12-FEB" sheetId="29" state="hidden" r:id="rId28"/>
    <sheet name="13-FEB" sheetId="30" state="hidden" r:id="rId29"/>
    <sheet name="14-FEB" sheetId="31" state="hidden" r:id="rId30"/>
    <sheet name="15-FEB" sheetId="32" state="hidden" r:id="rId31"/>
    <sheet name="16-FEB" sheetId="33" state="hidden" r:id="rId32"/>
    <sheet name="19-FEB" sheetId="34" state="hidden" r:id="rId33"/>
    <sheet name="20-FEB" sheetId="35" state="hidden" r:id="rId34"/>
    <sheet name="21-FEB" sheetId="36" state="hidden" r:id="rId35"/>
    <sheet name="22-FEB" sheetId="37" state="hidden" r:id="rId36"/>
    <sheet name="23-FEB" sheetId="38" state="hidden" r:id="rId37"/>
    <sheet name="26-FEB" sheetId="39" state="hidden" r:id="rId38"/>
    <sheet name="27-FEB" sheetId="40" state="hidden" r:id="rId39"/>
    <sheet name="28-FEB" sheetId="41" state="hidden" r:id="rId40"/>
    <sheet name="29-FEB" sheetId="42" state="hidden" r:id="rId41"/>
    <sheet name="01-MAR" sheetId="44" state="hidden" r:id="rId42"/>
    <sheet name="04-MAR" sheetId="45" state="hidden" r:id="rId43"/>
    <sheet name="05-MAR" sheetId="46" state="hidden" r:id="rId44"/>
    <sheet name="06-MAR" sheetId="47" state="hidden" r:id="rId45"/>
    <sheet name="07-MAR" sheetId="48" state="hidden" r:id="rId46"/>
    <sheet name="08-MAR" sheetId="49" state="hidden" r:id="rId47"/>
    <sheet name="11-MAR" sheetId="50" state="hidden" r:id="rId48"/>
    <sheet name="12-MAR" sheetId="51" state="hidden" r:id="rId49"/>
    <sheet name="13-MAR" sheetId="52" state="hidden" r:id="rId50"/>
    <sheet name="14-MAR" sheetId="53" state="hidden" r:id="rId51"/>
    <sheet name="15-MAR" sheetId="54" state="hidden" r:id="rId52"/>
    <sheet name="19-MAR" sheetId="55" state="hidden" r:id="rId53"/>
    <sheet name="20-MAR" sheetId="56" state="hidden" r:id="rId54"/>
    <sheet name="21-MAR" sheetId="57" state="hidden" r:id="rId55"/>
    <sheet name="22-MAR" sheetId="58" state="hidden" r:id="rId56"/>
    <sheet name="25-MAR" sheetId="59" state="hidden" r:id="rId57"/>
    <sheet name="26-MAR" sheetId="60" state="hidden" r:id="rId58"/>
    <sheet name="27-MAR" sheetId="61" state="hidden" r:id="rId59"/>
    <sheet name="01-ABR" sheetId="62" state="hidden" r:id="rId60"/>
    <sheet name="02-ABR" sheetId="63" state="hidden" r:id="rId61"/>
    <sheet name="03-ABR" sheetId="64" state="hidden" r:id="rId62"/>
    <sheet name="04-ABR" sheetId="65" state="hidden" r:id="rId63"/>
    <sheet name="05-ABR" sheetId="66" state="hidden" r:id="rId64"/>
    <sheet name="08-ABR" sheetId="67" state="hidden" r:id="rId65"/>
    <sheet name="09-ABR" sheetId="68" state="hidden" r:id="rId66"/>
    <sheet name="10-ABR" sheetId="69" state="hidden" r:id="rId67"/>
    <sheet name="11-ABR" sheetId="70" state="hidden" r:id="rId68"/>
    <sheet name="12-ABR" sheetId="71" state="hidden" r:id="rId69"/>
    <sheet name="15-ABR" sheetId="72" state="hidden" r:id="rId70"/>
    <sheet name="16-ABR" sheetId="73" state="hidden" r:id="rId71"/>
    <sheet name="17-ABR" sheetId="74" state="hidden" r:id="rId72"/>
    <sheet name="18-ABR" sheetId="75" state="hidden" r:id="rId73"/>
    <sheet name="19-ABR" sheetId="76" state="hidden" r:id="rId74"/>
    <sheet name="22-ABR" sheetId="77" state="hidden" r:id="rId75"/>
    <sheet name="23-ABR" sheetId="78" state="hidden" r:id="rId76"/>
    <sheet name="24-ABR" sheetId="79" state="hidden" r:id="rId77"/>
    <sheet name="25-ABR" sheetId="80" state="hidden" r:id="rId78"/>
    <sheet name="26-ABR" sheetId="81" state="hidden" r:id="rId79"/>
    <sheet name="29-ABR" sheetId="82" state="hidden" r:id="rId80"/>
    <sheet name="30-ABR" sheetId="83" state="hidden" r:id="rId81"/>
    <sheet name="02-MAY" sheetId="85" state="hidden" r:id="rId82"/>
    <sheet name="06-MAY" sheetId="86" state="hidden" r:id="rId83"/>
    <sheet name="07-MAY" sheetId="87" state="hidden" r:id="rId84"/>
    <sheet name="08-MAY" sheetId="88" state="hidden" r:id="rId85"/>
    <sheet name="10-MAY" sheetId="89" state="hidden" r:id="rId86"/>
    <sheet name="13-MAY" sheetId="90" state="hidden" r:id="rId87"/>
    <sheet name="14-MAY" sheetId="91" state="hidden" r:id="rId88"/>
    <sheet name="15-MAY" sheetId="92" state="hidden" r:id="rId89"/>
    <sheet name="16-MAY" sheetId="93" state="hidden" r:id="rId90"/>
    <sheet name="17-MAY" sheetId="94" state="hidden" r:id="rId91"/>
    <sheet name="20-MAY" sheetId="95" state="hidden" r:id="rId92"/>
    <sheet name="21-MAY" sheetId="96" state="hidden" r:id="rId93"/>
    <sheet name="22-MAY" sheetId="97" state="hidden" r:id="rId94"/>
    <sheet name="23-MAY" sheetId="98" state="hidden" r:id="rId95"/>
    <sheet name="24-MAY" sheetId="99" state="hidden" r:id="rId96"/>
    <sheet name="27-MAY" sheetId="100" state="hidden" r:id="rId97"/>
    <sheet name="28-MAY" sheetId="101" state="hidden" r:id="rId98"/>
    <sheet name="29-MAY" sheetId="102" state="hidden" r:id="rId99"/>
    <sheet name="30-MAY" sheetId="103" state="hidden" r:id="rId100"/>
    <sheet name="31-MAY" sheetId="104" state="hidden" r:id="rId101"/>
    <sheet name="03-JUN" sheetId="105" state="hidden" r:id="rId102"/>
    <sheet name="04-JUN" sheetId="106" state="hidden" r:id="rId103"/>
    <sheet name="05-JUN" sheetId="107" state="hidden" r:id="rId104"/>
    <sheet name="06-JUN" sheetId="108" state="hidden" r:id="rId105"/>
    <sheet name="07-JUN" sheetId="109" state="hidden" r:id="rId106"/>
    <sheet name="10-JUN" sheetId="110" state="hidden" r:id="rId107"/>
    <sheet name="11-JUN" sheetId="111" state="hidden" r:id="rId108"/>
    <sheet name="12-JUN" sheetId="112" state="hidden" r:id="rId109"/>
    <sheet name="13-JUN" sheetId="113" state="hidden" r:id="rId110"/>
    <sheet name="14-JUN" sheetId="114" state="hidden" r:id="rId111"/>
    <sheet name="15-JUL" sheetId="115" state="hidden" r:id="rId112"/>
    <sheet name="16-JUL" sheetId="116" state="hidden" r:id="rId113"/>
    <sheet name="18-JUL" sheetId="117" state="hidden" r:id="rId114"/>
    <sheet name="19-JUL" sheetId="118" state="hidden" r:id="rId115"/>
    <sheet name="22-JUL" sheetId="119" state="hidden" r:id="rId116"/>
    <sheet name="23-JUL" sheetId="120" state="hidden" r:id="rId117"/>
    <sheet name="24-JUL" sheetId="121" state="hidden" r:id="rId118"/>
    <sheet name="25-JUL" sheetId="122" state="hidden" r:id="rId119"/>
    <sheet name="26-JUL" sheetId="123" state="hidden" r:id="rId120"/>
    <sheet name="29-JUL" sheetId="124" state="hidden" r:id="rId121"/>
    <sheet name="30-JUL" sheetId="125" state="hidden" r:id="rId122"/>
    <sheet name="31-JUL" sheetId="126" state="hidden" r:id="rId123"/>
    <sheet name="01-AGO" sheetId="127" state="hidden" r:id="rId124"/>
    <sheet name="02-AGO" sheetId="128" state="hidden" r:id="rId125"/>
    <sheet name="05-AGO" sheetId="129" state="hidden" r:id="rId126"/>
    <sheet name="07-AGO" sheetId="130" state="hidden" r:id="rId127"/>
    <sheet name="08-AGO" sheetId="131" state="hidden" r:id="rId128"/>
    <sheet name="09-AGO" sheetId="132" state="hidden" r:id="rId129"/>
    <sheet name="12-AGO" sheetId="133" state="hidden" r:id="rId130"/>
    <sheet name="13-AGO" sheetId="134" state="hidden" r:id="rId131"/>
    <sheet name="14-AGO" sheetId="135" state="hidden" r:id="rId132"/>
    <sheet name="15-AGO" sheetId="136" state="hidden" r:id="rId133"/>
    <sheet name="16-AGO" sheetId="137" state="hidden" r:id="rId134"/>
    <sheet name="19-AGO" sheetId="138" state="hidden" r:id="rId135"/>
    <sheet name="20-AGO" sheetId="139" state="hidden" r:id="rId136"/>
    <sheet name="21-AGO" sheetId="140" state="hidden" r:id="rId137"/>
    <sheet name="22-AGO" sheetId="141" state="hidden" r:id="rId138"/>
    <sheet name="23-AGO" sheetId="142" state="hidden" r:id="rId139"/>
    <sheet name="27-AGO" sheetId="143" state="hidden" r:id="rId140"/>
    <sheet name="28-AGO" sheetId="144" state="hidden" r:id="rId141"/>
    <sheet name="29-AGO" sheetId="145" state="hidden" r:id="rId142"/>
    <sheet name="30-AGO" sheetId="146" state="hidden" r:id="rId143"/>
    <sheet name="02-SEP" sheetId="147" state="hidden" r:id="rId144"/>
    <sheet name="03-SEP" sheetId="148" state="hidden" r:id="rId145"/>
    <sheet name="04-SEP" sheetId="149" state="hidden" r:id="rId146"/>
    <sheet name="05-SEP" sheetId="150" state="hidden" r:id="rId147"/>
    <sheet name="06-SEP" sheetId="151" state="hidden" r:id="rId148"/>
    <sheet name="09-SEP" sheetId="152" state="hidden" r:id="rId149"/>
    <sheet name="10-SEP" sheetId="153" state="hidden" r:id="rId150"/>
    <sheet name="11-SEP" sheetId="154" state="hidden" r:id="rId151"/>
    <sheet name="12-SEP" sheetId="155" state="hidden" r:id="rId152"/>
    <sheet name="18-SEP" sheetId="156" state="hidden" r:id="rId153"/>
    <sheet name="19-SEP" sheetId="157" state="hidden" r:id="rId154"/>
    <sheet name="23-SEP" sheetId="158" state="hidden" r:id="rId155"/>
    <sheet name="24-SEP" sheetId="159" state="hidden" r:id="rId156"/>
    <sheet name="25-SEP" sheetId="160" state="hidden" r:id="rId157"/>
    <sheet name="26-SEP" sheetId="161" state="hidden" r:id="rId158"/>
    <sheet name="27-SEP" sheetId="162" state="hidden" r:id="rId159"/>
    <sheet name="F1PNO-CYA-05.01" sheetId="163" r:id="rId160"/>
    <sheet name="Hoja2" sheetId="84" state="hidden" r:id="rId161"/>
  </sheets>
  <definedNames>
    <definedName name="_xlnm.Print_Area" localSheetId="96">'27-MAY'!$E$37:$F$56</definedName>
    <definedName name="_xlnm.Print_Area" localSheetId="159">'F1PNO-CYA-05.01'!$A$1:$K$32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9" i="163" l="1"/>
  <c r="F10" i="163"/>
  <c r="F51" i="163" l="1"/>
  <c r="K62" i="163"/>
  <c r="K53" i="163" l="1"/>
  <c r="G69" i="163" l="1"/>
  <c r="F60" i="163"/>
  <c r="F27" i="163"/>
  <c r="F58" i="162"/>
  <c r="F17" i="163" l="1"/>
  <c r="F19" i="163" s="1"/>
  <c r="G18" i="162"/>
  <c r="G69" i="162"/>
  <c r="F63" i="162"/>
  <c r="F54" i="162"/>
  <c r="F50" i="162"/>
  <c r="F27" i="162"/>
  <c r="J22" i="162"/>
  <c r="E21" i="162"/>
  <c r="E19" i="162"/>
  <c r="F39" i="162" s="1"/>
  <c r="E18" i="162"/>
  <c r="E17" i="162"/>
  <c r="E16" i="162"/>
  <c r="E15" i="162"/>
  <c r="G10" i="162"/>
  <c r="G18" i="161"/>
  <c r="G69" i="161"/>
  <c r="F58" i="161"/>
  <c r="F63" i="161" s="1"/>
  <c r="F50" i="161"/>
  <c r="F54" i="161" s="1"/>
  <c r="F27" i="161"/>
  <c r="J22" i="161"/>
  <c r="E21" i="161"/>
  <c r="E19" i="161"/>
  <c r="F39" i="161" s="1"/>
  <c r="E17" i="161"/>
  <c r="E18" i="161"/>
  <c r="E16" i="161"/>
  <c r="E15" i="161"/>
  <c r="G10" i="161"/>
  <c r="G68" i="160"/>
  <c r="F56" i="160"/>
  <c r="F61" i="160" s="1"/>
  <c r="F52" i="160"/>
  <c r="F49" i="160"/>
  <c r="F48" i="160"/>
  <c r="F26" i="160"/>
  <c r="J22" i="160"/>
  <c r="E21" i="160"/>
  <c r="E19" i="160"/>
  <c r="F38" i="160" s="1"/>
  <c r="E15" i="160"/>
  <c r="G18" i="160"/>
  <c r="E17" i="160" s="1"/>
  <c r="E18" i="160"/>
  <c r="E16" i="160"/>
  <c r="G10" i="160"/>
  <c r="J22" i="159"/>
  <c r="F48" i="159"/>
  <c r="F47" i="159"/>
  <c r="J18" i="159"/>
  <c r="G18" i="159"/>
  <c r="G68" i="159"/>
  <c r="F56" i="159"/>
  <c r="F61" i="159" s="1"/>
  <c r="F49" i="159"/>
  <c r="F26" i="159"/>
  <c r="E21" i="159"/>
  <c r="E19" i="159"/>
  <c r="F38" i="159" s="1"/>
  <c r="E18" i="159"/>
  <c r="E17" i="159"/>
  <c r="E16" i="159"/>
  <c r="E15" i="159"/>
  <c r="E14" i="159"/>
  <c r="G10" i="159"/>
  <c r="E14" i="158"/>
  <c r="G23" i="158"/>
  <c r="F49" i="158"/>
  <c r="F52" i="158"/>
  <c r="F56" i="158"/>
  <c r="F61" i="158" s="1"/>
  <c r="F26" i="158"/>
  <c r="G68" i="158"/>
  <c r="J22" i="158"/>
  <c r="E18" i="158" s="1"/>
  <c r="E21" i="158"/>
  <c r="E19" i="158"/>
  <c r="F38" i="158" s="1"/>
  <c r="E17" i="158"/>
  <c r="E16" i="158"/>
  <c r="E15" i="158"/>
  <c r="G10" i="158"/>
  <c r="K42" i="163" l="1"/>
  <c r="K54" i="163" s="1"/>
  <c r="K64" i="163" s="1"/>
  <c r="F26" i="163"/>
  <c r="F28" i="163" s="1"/>
  <c r="E14" i="162"/>
  <c r="F17" i="162"/>
  <c r="F19" i="162" s="1"/>
  <c r="F26" i="162" s="1"/>
  <c r="F28" i="162" s="1"/>
  <c r="E14" i="161"/>
  <c r="F17" i="161"/>
  <c r="F19" i="161" s="1"/>
  <c r="E14" i="160"/>
  <c r="F17" i="160"/>
  <c r="F19" i="160" s="1"/>
  <c r="F52" i="159"/>
  <c r="F17" i="159"/>
  <c r="F19" i="159" s="1"/>
  <c r="F25" i="159"/>
  <c r="F27" i="159" s="1"/>
  <c r="F37" i="159"/>
  <c r="F41" i="159" s="1"/>
  <c r="F53" i="159" s="1"/>
  <c r="F63" i="159" s="1"/>
  <c r="F17" i="158"/>
  <c r="F19" i="158" s="1"/>
  <c r="F37" i="158" s="1"/>
  <c r="F41" i="158" s="1"/>
  <c r="F53" i="158" s="1"/>
  <c r="F63" i="158" s="1"/>
  <c r="G67" i="157"/>
  <c r="F57" i="157"/>
  <c r="F62" i="157" s="1"/>
  <c r="F50" i="157"/>
  <c r="F53" i="157" s="1"/>
  <c r="F28" i="157"/>
  <c r="J22" i="157"/>
  <c r="E18" i="157" s="1"/>
  <c r="E21" i="157"/>
  <c r="E19" i="157"/>
  <c r="F40" i="157" s="1"/>
  <c r="E17" i="157"/>
  <c r="E16" i="157"/>
  <c r="E15" i="157"/>
  <c r="F17" i="157" s="1"/>
  <c r="F19" i="157" s="1"/>
  <c r="G10" i="157"/>
  <c r="G18" i="156"/>
  <c r="J18" i="156"/>
  <c r="J22" i="156"/>
  <c r="F42" i="163" l="1"/>
  <c r="F52" i="163" s="1"/>
  <c r="F62" i="163" s="1"/>
  <c r="F38" i="162"/>
  <c r="F42" i="162" s="1"/>
  <c r="F55" i="162" s="1"/>
  <c r="F65" i="162" s="1"/>
  <c r="F26" i="161"/>
  <c r="F28" i="161" s="1"/>
  <c r="F38" i="161"/>
  <c r="F42" i="161" s="1"/>
  <c r="F55" i="161" s="1"/>
  <c r="F65" i="161" s="1"/>
  <c r="F37" i="160"/>
  <c r="F41" i="160" s="1"/>
  <c r="F53" i="160" s="1"/>
  <c r="F63" i="160" s="1"/>
  <c r="F25" i="160"/>
  <c r="F27" i="160" s="1"/>
  <c r="F25" i="158"/>
  <c r="F27" i="158" s="1"/>
  <c r="F39" i="157"/>
  <c r="F43" i="157" s="1"/>
  <c r="F54" i="157" s="1"/>
  <c r="F64" i="157" s="1"/>
  <c r="F27" i="157"/>
  <c r="F29" i="157" s="1"/>
  <c r="E14" i="157"/>
  <c r="F53" i="156"/>
  <c r="F57" i="156"/>
  <c r="F28" i="156" l="1"/>
  <c r="F50" i="156"/>
  <c r="G67" i="156" l="1"/>
  <c r="F62" i="156"/>
  <c r="E21" i="156"/>
  <c r="E19" i="156"/>
  <c r="F40" i="156" s="1"/>
  <c r="E18" i="156"/>
  <c r="E17" i="156"/>
  <c r="E16" i="156"/>
  <c r="E15" i="156"/>
  <c r="G10" i="156"/>
  <c r="F51" i="155"/>
  <c r="F53" i="155"/>
  <c r="F58" i="155"/>
  <c r="E30" i="155"/>
  <c r="E27" i="155"/>
  <c r="J17" i="155"/>
  <c r="J19" i="155"/>
  <c r="G68" i="155"/>
  <c r="F63" i="155"/>
  <c r="E14" i="156" l="1"/>
  <c r="F17" i="156"/>
  <c r="F19" i="156" s="1"/>
  <c r="F28" i="155"/>
  <c r="E21" i="155"/>
  <c r="E19" i="155"/>
  <c r="F40" i="155" s="1"/>
  <c r="E17" i="155"/>
  <c r="E18" i="155"/>
  <c r="E15" i="155"/>
  <c r="E16" i="155"/>
  <c r="G10" i="155"/>
  <c r="Q18" i="154"/>
  <c r="Q20" i="154" s="1"/>
  <c r="Q13" i="154"/>
  <c r="Q11" i="154"/>
  <c r="F17" i="154"/>
  <c r="J19" i="154"/>
  <c r="G18" i="154"/>
  <c r="J17" i="154"/>
  <c r="F27" i="156" l="1"/>
  <c r="F29" i="156" s="1"/>
  <c r="F39" i="156"/>
  <c r="F43" i="156" s="1"/>
  <c r="F54" i="155"/>
  <c r="F17" i="155"/>
  <c r="F19" i="155" s="1"/>
  <c r="E14" i="155"/>
  <c r="G68" i="154"/>
  <c r="F63" i="154"/>
  <c r="F58" i="154"/>
  <c r="F53" i="154"/>
  <c r="F51" i="154"/>
  <c r="F54" i="154" s="1"/>
  <c r="F28" i="154"/>
  <c r="E21" i="154"/>
  <c r="E19" i="154"/>
  <c r="F40" i="154" s="1"/>
  <c r="E18" i="154"/>
  <c r="E17" i="154"/>
  <c r="E16" i="154"/>
  <c r="E15" i="154"/>
  <c r="G10" i="154"/>
  <c r="E14" i="153"/>
  <c r="F53" i="153"/>
  <c r="F27" i="153"/>
  <c r="F54" i="156" l="1"/>
  <c r="F64" i="156" s="1"/>
  <c r="F39" i="155"/>
  <c r="F43" i="155" s="1"/>
  <c r="F55" i="155" s="1"/>
  <c r="F65" i="155" s="1"/>
  <c r="F27" i="155"/>
  <c r="F29" i="155" s="1"/>
  <c r="E14" i="154"/>
  <c r="F19" i="154"/>
  <c r="F39" i="154" s="1"/>
  <c r="F43" i="154" s="1"/>
  <c r="F55" i="154" s="1"/>
  <c r="G68" i="153"/>
  <c r="F58" i="153"/>
  <c r="F63" i="153" s="1"/>
  <c r="F54" i="153"/>
  <c r="F51" i="153"/>
  <c r="F28" i="153"/>
  <c r="E21" i="153"/>
  <c r="E19" i="153"/>
  <c r="F40" i="153" s="1"/>
  <c r="E18" i="153"/>
  <c r="E17" i="153"/>
  <c r="E16" i="153"/>
  <c r="E15" i="153"/>
  <c r="G10" i="153"/>
  <c r="F58" i="152"/>
  <c r="F27" i="154" l="1"/>
  <c r="F29" i="154" s="1"/>
  <c r="F17" i="153"/>
  <c r="F19" i="153" s="1"/>
  <c r="F51" i="152"/>
  <c r="G68" i="152"/>
  <c r="F63" i="152"/>
  <c r="F54" i="152"/>
  <c r="F28" i="152"/>
  <c r="E21" i="152"/>
  <c r="E19" i="152"/>
  <c r="F40" i="152" s="1"/>
  <c r="E18" i="152"/>
  <c r="E17" i="152"/>
  <c r="E16" i="152"/>
  <c r="E15" i="152"/>
  <c r="G10" i="152"/>
  <c r="G67" i="151"/>
  <c r="F62" i="151"/>
  <c r="F53" i="151"/>
  <c r="E32" i="151"/>
  <c r="F28" i="151"/>
  <c r="E21" i="151"/>
  <c r="E19" i="151"/>
  <c r="F40" i="151" s="1"/>
  <c r="E18" i="151"/>
  <c r="E17" i="151"/>
  <c r="E16" i="151"/>
  <c r="E15" i="151"/>
  <c r="G10" i="151"/>
  <c r="G67" i="150"/>
  <c r="F62" i="150"/>
  <c r="F52" i="150"/>
  <c r="F53" i="150" s="1"/>
  <c r="F50" i="150"/>
  <c r="E32" i="150"/>
  <c r="F28" i="150"/>
  <c r="E21" i="150"/>
  <c r="E19" i="150"/>
  <c r="F40" i="150" s="1"/>
  <c r="E18" i="150"/>
  <c r="E17" i="150"/>
  <c r="E16" i="150"/>
  <c r="E15" i="150"/>
  <c r="G10" i="150"/>
  <c r="G67" i="149"/>
  <c r="F62" i="149"/>
  <c r="F52" i="149"/>
  <c r="F53" i="149" s="1"/>
  <c r="F50" i="149"/>
  <c r="E32" i="149"/>
  <c r="F28" i="149"/>
  <c r="E21" i="149"/>
  <c r="E19" i="149"/>
  <c r="F40" i="149" s="1"/>
  <c r="E18" i="149"/>
  <c r="E17" i="149"/>
  <c r="E16" i="149"/>
  <c r="E15" i="149"/>
  <c r="G10" i="149"/>
  <c r="E20" i="148"/>
  <c r="F52" i="148"/>
  <c r="G67" i="148"/>
  <c r="F62" i="148"/>
  <c r="F50" i="148"/>
  <c r="F53" i="148" s="1"/>
  <c r="E32" i="148"/>
  <c r="F28" i="148"/>
  <c r="E21" i="148"/>
  <c r="E19" i="148"/>
  <c r="F40" i="148" s="1"/>
  <c r="E18" i="148"/>
  <c r="E17" i="148"/>
  <c r="E16" i="148"/>
  <c r="E15" i="148"/>
  <c r="E14" i="148" s="1"/>
  <c r="G10" i="148"/>
  <c r="E32" i="147"/>
  <c r="F28" i="147" s="1"/>
  <c r="E21" i="147"/>
  <c r="F50" i="147"/>
  <c r="F48" i="147"/>
  <c r="F53" i="147" s="1"/>
  <c r="G67" i="147"/>
  <c r="F62" i="147"/>
  <c r="E19" i="147"/>
  <c r="F40" i="147" s="1"/>
  <c r="E18" i="147"/>
  <c r="E17" i="147"/>
  <c r="E16" i="147"/>
  <c r="E15" i="147"/>
  <c r="G10" i="147"/>
  <c r="E26" i="146"/>
  <c r="F28" i="146" s="1"/>
  <c r="E27" i="146"/>
  <c r="G68" i="146"/>
  <c r="F63" i="146"/>
  <c r="F54" i="146"/>
  <c r="F52" i="146"/>
  <c r="E21" i="146"/>
  <c r="E19" i="146"/>
  <c r="F40" i="146" s="1"/>
  <c r="E18" i="146"/>
  <c r="E17" i="146"/>
  <c r="E16" i="146"/>
  <c r="E15" i="146"/>
  <c r="G10" i="146"/>
  <c r="E27" i="145"/>
  <c r="F28" i="145" s="1"/>
  <c r="F52" i="145"/>
  <c r="G68" i="145"/>
  <c r="F63" i="145"/>
  <c r="F50" i="145"/>
  <c r="F54" i="145" s="1"/>
  <c r="E21" i="145"/>
  <c r="E19" i="145"/>
  <c r="F40" i="145" s="1"/>
  <c r="E18" i="145"/>
  <c r="E17" i="145"/>
  <c r="E16" i="145"/>
  <c r="E15" i="145"/>
  <c r="F17" i="145" s="1"/>
  <c r="F19" i="145" s="1"/>
  <c r="E14" i="145"/>
  <c r="G10" i="145"/>
  <c r="F29" i="153" l="1"/>
  <c r="F39" i="153"/>
  <c r="F43" i="153" s="1"/>
  <c r="F55" i="153" s="1"/>
  <c r="F65" i="153" s="1"/>
  <c r="E14" i="152"/>
  <c r="F17" i="152"/>
  <c r="F19" i="152" s="1"/>
  <c r="F27" i="152" s="1"/>
  <c r="E14" i="151"/>
  <c r="F17" i="151"/>
  <c r="F19" i="151" s="1"/>
  <c r="E14" i="150"/>
  <c r="F17" i="150"/>
  <c r="F19" i="150" s="1"/>
  <c r="E14" i="149"/>
  <c r="F17" i="149"/>
  <c r="F19" i="149" s="1"/>
  <c r="F17" i="148"/>
  <c r="F19" i="148" s="1"/>
  <c r="F17" i="147"/>
  <c r="F19" i="147" s="1"/>
  <c r="F27" i="147" s="1"/>
  <c r="F29" i="147" s="1"/>
  <c r="E14" i="147"/>
  <c r="E14" i="146"/>
  <c r="F17" i="146"/>
  <c r="F19" i="146" s="1"/>
  <c r="F39" i="145"/>
  <c r="F43" i="145" s="1"/>
  <c r="F55" i="145" s="1"/>
  <c r="F65" i="145" s="1"/>
  <c r="F27" i="145"/>
  <c r="F29" i="145" s="1"/>
  <c r="G68" i="144"/>
  <c r="F63" i="144"/>
  <c r="F54" i="144"/>
  <c r="F50" i="144"/>
  <c r="F28" i="144"/>
  <c r="E21" i="144"/>
  <c r="E19" i="144"/>
  <c r="F40" i="144" s="1"/>
  <c r="E18" i="144"/>
  <c r="E17" i="144"/>
  <c r="E16" i="144"/>
  <c r="E15" i="144"/>
  <c r="G10" i="144"/>
  <c r="E21" i="143"/>
  <c r="G17" i="143"/>
  <c r="F29" i="152" l="1"/>
  <c r="F39" i="152"/>
  <c r="F43" i="152" s="1"/>
  <c r="F55" i="152" s="1"/>
  <c r="F65" i="152" s="1"/>
  <c r="F39" i="151"/>
  <c r="F43" i="151" s="1"/>
  <c r="F54" i="151" s="1"/>
  <c r="F64" i="151" s="1"/>
  <c r="F27" i="151"/>
  <c r="F29" i="151" s="1"/>
  <c r="F39" i="150"/>
  <c r="F43" i="150" s="1"/>
  <c r="F54" i="150" s="1"/>
  <c r="F64" i="150" s="1"/>
  <c r="F27" i="150"/>
  <c r="F29" i="150" s="1"/>
  <c r="F39" i="149"/>
  <c r="F43" i="149" s="1"/>
  <c r="F54" i="149" s="1"/>
  <c r="F64" i="149" s="1"/>
  <c r="F27" i="149"/>
  <c r="F29" i="149" s="1"/>
  <c r="F39" i="148"/>
  <c r="F43" i="148" s="1"/>
  <c r="F54" i="148" s="1"/>
  <c r="F64" i="148" s="1"/>
  <c r="F27" i="148"/>
  <c r="F29" i="148" s="1"/>
  <c r="F39" i="147"/>
  <c r="F43" i="147" s="1"/>
  <c r="F54" i="147" s="1"/>
  <c r="F64" i="147" s="1"/>
  <c r="F27" i="146"/>
  <c r="F29" i="146" s="1"/>
  <c r="F39" i="146"/>
  <c r="F43" i="146" s="1"/>
  <c r="F55" i="146" s="1"/>
  <c r="F65" i="146" s="1"/>
  <c r="E14" i="144"/>
  <c r="F17" i="144"/>
  <c r="F19" i="144" s="1"/>
  <c r="F50" i="143"/>
  <c r="F27" i="144" l="1"/>
  <c r="F29" i="144" s="1"/>
  <c r="F39" i="144"/>
  <c r="F43" i="144" s="1"/>
  <c r="F55" i="144" s="1"/>
  <c r="F65" i="144" s="1"/>
  <c r="G68" i="143"/>
  <c r="F63" i="143"/>
  <c r="F54" i="143"/>
  <c r="E19" i="143"/>
  <c r="F40" i="143" s="1"/>
  <c r="F28" i="143"/>
  <c r="E18" i="143"/>
  <c r="E17" i="143"/>
  <c r="E16" i="143"/>
  <c r="E15" i="143"/>
  <c r="G10" i="143"/>
  <c r="E14" i="143" l="1"/>
  <c r="F17" i="143"/>
  <c r="F19" i="143" s="1"/>
  <c r="F27" i="143" s="1"/>
  <c r="F29" i="143" s="1"/>
  <c r="F39" i="143" l="1"/>
  <c r="F43" i="143" s="1"/>
  <c r="F55" i="143" s="1"/>
  <c r="F65" i="143" s="1"/>
  <c r="F50" i="142"/>
  <c r="J18" i="142"/>
  <c r="G31" i="142"/>
  <c r="E19" i="142" s="1"/>
  <c r="F40" i="142" s="1"/>
  <c r="G66" i="142"/>
  <c r="F61" i="142"/>
  <c r="F48" i="142"/>
  <c r="F47" i="142"/>
  <c r="F28" i="142"/>
  <c r="E21" i="142"/>
  <c r="E15" i="142"/>
  <c r="E18" i="142"/>
  <c r="E17" i="142"/>
  <c r="E16" i="142"/>
  <c r="G10" i="142"/>
  <c r="M15" i="141"/>
  <c r="M13" i="141"/>
  <c r="G31" i="141"/>
  <c r="J18" i="141"/>
  <c r="F48" i="141"/>
  <c r="G66" i="141"/>
  <c r="F61" i="141"/>
  <c r="F50" i="141"/>
  <c r="F47" i="141"/>
  <c r="F52" i="141"/>
  <c r="F28" i="141"/>
  <c r="E21" i="141"/>
  <c r="E19" i="141"/>
  <c r="F40" i="141" s="1"/>
  <c r="E18" i="141"/>
  <c r="E17" i="141"/>
  <c r="E16" i="141"/>
  <c r="E15" i="141"/>
  <c r="G10" i="141"/>
  <c r="E26" i="140"/>
  <c r="F50" i="140"/>
  <c r="F47" i="140"/>
  <c r="E29" i="140"/>
  <c r="F28" i="140" s="1"/>
  <c r="G66" i="140"/>
  <c r="F61" i="140"/>
  <c r="F48" i="140"/>
  <c r="F46" i="140"/>
  <c r="E21" i="140"/>
  <c r="E19" i="140"/>
  <c r="F40" i="140" s="1"/>
  <c r="E18" i="140"/>
  <c r="E17" i="140"/>
  <c r="E16" i="140"/>
  <c r="E15" i="140"/>
  <c r="F17" i="140" s="1"/>
  <c r="F19" i="140" s="1"/>
  <c r="G10" i="140"/>
  <c r="F46" i="139"/>
  <c r="F52" i="142" l="1"/>
  <c r="E14" i="142"/>
  <c r="F17" i="142"/>
  <c r="F19" i="142" s="1"/>
  <c r="F17" i="141"/>
  <c r="F19" i="141" s="1"/>
  <c r="E14" i="141"/>
  <c r="F27" i="141"/>
  <c r="F29" i="141" s="1"/>
  <c r="F39" i="141"/>
  <c r="F43" i="141" s="1"/>
  <c r="F53" i="141" s="1"/>
  <c r="F63" i="141" s="1"/>
  <c r="E14" i="140"/>
  <c r="F52" i="140"/>
  <c r="F39" i="140"/>
  <c r="F43" i="140" s="1"/>
  <c r="F27" i="140"/>
  <c r="F29" i="140" s="1"/>
  <c r="E32" i="139"/>
  <c r="F28" i="139" s="1"/>
  <c r="F50" i="139"/>
  <c r="G66" i="139"/>
  <c r="F61" i="139"/>
  <c r="F48" i="139"/>
  <c r="F52" i="139" s="1"/>
  <c r="F40" i="139"/>
  <c r="E21" i="139"/>
  <c r="E19" i="139"/>
  <c r="E18" i="139"/>
  <c r="E17" i="139"/>
  <c r="E16" i="139"/>
  <c r="E15" i="139"/>
  <c r="G10" i="139"/>
  <c r="F61" i="138"/>
  <c r="F48" i="138"/>
  <c r="F27" i="142" l="1"/>
  <c r="F29" i="142" s="1"/>
  <c r="F39" i="142"/>
  <c r="F43" i="142" s="1"/>
  <c r="F53" i="142" s="1"/>
  <c r="F63" i="142" s="1"/>
  <c r="F53" i="140"/>
  <c r="F63" i="140" s="1"/>
  <c r="F17" i="139"/>
  <c r="F19" i="139" s="1"/>
  <c r="F39" i="139" s="1"/>
  <c r="F43" i="139" s="1"/>
  <c r="F53" i="139" s="1"/>
  <c r="F63" i="139" s="1"/>
  <c r="F27" i="139"/>
  <c r="F29" i="139" s="1"/>
  <c r="E14" i="139"/>
  <c r="G66" i="138"/>
  <c r="F52" i="138"/>
  <c r="F28" i="138"/>
  <c r="E21" i="138"/>
  <c r="E19" i="138"/>
  <c r="F40" i="138" s="1"/>
  <c r="E18" i="138"/>
  <c r="E17" i="138"/>
  <c r="E16" i="138"/>
  <c r="E15" i="138"/>
  <c r="G10" i="138"/>
  <c r="G69" i="137"/>
  <c r="F64" i="137"/>
  <c r="F55" i="137"/>
  <c r="F40" i="137"/>
  <c r="F28" i="137"/>
  <c r="E21" i="137"/>
  <c r="E19" i="137"/>
  <c r="E18" i="137"/>
  <c r="E17" i="137"/>
  <c r="E16" i="137"/>
  <c r="E15" i="137"/>
  <c r="G10" i="137"/>
  <c r="G69" i="136"/>
  <c r="F64" i="136"/>
  <c r="F55" i="136"/>
  <c r="F28" i="136"/>
  <c r="E27" i="136"/>
  <c r="E21" i="136"/>
  <c r="E19" i="136"/>
  <c r="F40" i="136" s="1"/>
  <c r="E18" i="136"/>
  <c r="E17" i="136"/>
  <c r="E16" i="136"/>
  <c r="E15" i="136"/>
  <c r="G10" i="136"/>
  <c r="E27" i="135"/>
  <c r="G69" i="135"/>
  <c r="F64" i="135"/>
  <c r="F50" i="135"/>
  <c r="F55" i="135" s="1"/>
  <c r="F28" i="135"/>
  <c r="E21" i="135"/>
  <c r="E19" i="135"/>
  <c r="F40" i="135" s="1"/>
  <c r="E18" i="135"/>
  <c r="E17" i="135"/>
  <c r="E16" i="135"/>
  <c r="E15" i="135"/>
  <c r="G10" i="135"/>
  <c r="E28" i="134"/>
  <c r="F28" i="134" s="1"/>
  <c r="G69" i="134"/>
  <c r="F64" i="134"/>
  <c r="F55" i="134"/>
  <c r="F50" i="134"/>
  <c r="E21" i="134"/>
  <c r="E19" i="134"/>
  <c r="F40" i="134" s="1"/>
  <c r="E18" i="134"/>
  <c r="E17" i="134"/>
  <c r="E16" i="134"/>
  <c r="E15" i="134"/>
  <c r="F17" i="134" s="1"/>
  <c r="F19" i="134" s="1"/>
  <c r="G10" i="134"/>
  <c r="F50" i="133"/>
  <c r="F55" i="133" s="1"/>
  <c r="G29" i="133"/>
  <c r="E19" i="133" s="1"/>
  <c r="F40" i="133" s="1"/>
  <c r="J17" i="133"/>
  <c r="E15" i="133" s="1"/>
  <c r="G69" i="133"/>
  <c r="F59" i="133"/>
  <c r="F64" i="133" s="1"/>
  <c r="F28" i="133"/>
  <c r="E21" i="133"/>
  <c r="E18" i="133"/>
  <c r="E17" i="133"/>
  <c r="E16" i="133"/>
  <c r="G10" i="133"/>
  <c r="G66" i="132"/>
  <c r="F56" i="132"/>
  <c r="F61" i="132" s="1"/>
  <c r="F52" i="132"/>
  <c r="F28" i="132"/>
  <c r="E21" i="132"/>
  <c r="E19" i="132"/>
  <c r="F40" i="132" s="1"/>
  <c r="E18" i="132"/>
  <c r="E17" i="132"/>
  <c r="E16" i="132"/>
  <c r="E15" i="132"/>
  <c r="F17" i="132" s="1"/>
  <c r="F19" i="132" s="1"/>
  <c r="G10" i="132"/>
  <c r="F56" i="131"/>
  <c r="F17" i="138" l="1"/>
  <c r="F19" i="138" s="1"/>
  <c r="F27" i="138" s="1"/>
  <c r="F29" i="138" s="1"/>
  <c r="E14" i="138"/>
  <c r="F17" i="137"/>
  <c r="F19" i="137" s="1"/>
  <c r="F39" i="137" s="1"/>
  <c r="F43" i="137" s="1"/>
  <c r="F56" i="137" s="1"/>
  <c r="F66" i="137" s="1"/>
  <c r="E14" i="137"/>
  <c r="E14" i="136"/>
  <c r="F17" i="136"/>
  <c r="F19" i="136" s="1"/>
  <c r="F27" i="136"/>
  <c r="F29" i="136" s="1"/>
  <c r="F39" i="136"/>
  <c r="F43" i="136" s="1"/>
  <c r="F56" i="136" s="1"/>
  <c r="F66" i="136" s="1"/>
  <c r="F17" i="135"/>
  <c r="F19" i="135" s="1"/>
  <c r="E14" i="135"/>
  <c r="F39" i="135"/>
  <c r="F43" i="135" s="1"/>
  <c r="F56" i="135" s="1"/>
  <c r="F66" i="135" s="1"/>
  <c r="F27" i="135"/>
  <c r="F29" i="135" s="1"/>
  <c r="E14" i="134"/>
  <c r="F39" i="134"/>
  <c r="F43" i="134" s="1"/>
  <c r="F56" i="134" s="1"/>
  <c r="F66" i="134" s="1"/>
  <c r="F27" i="134"/>
  <c r="F29" i="134" s="1"/>
  <c r="F17" i="133"/>
  <c r="F19" i="133" s="1"/>
  <c r="F27" i="133" s="1"/>
  <c r="F29" i="133" s="1"/>
  <c r="E14" i="133"/>
  <c r="F39" i="132"/>
  <c r="F43" i="132" s="1"/>
  <c r="F53" i="132" s="1"/>
  <c r="F63" i="132" s="1"/>
  <c r="F27" i="132"/>
  <c r="F29" i="132" s="1"/>
  <c r="E14" i="132"/>
  <c r="G66" i="131"/>
  <c r="F61" i="131"/>
  <c r="F52" i="131"/>
  <c r="F49" i="131"/>
  <c r="F28" i="131"/>
  <c r="E21" i="131"/>
  <c r="E19" i="131"/>
  <c r="F40" i="131" s="1"/>
  <c r="E17" i="131"/>
  <c r="E18" i="131"/>
  <c r="E16" i="131"/>
  <c r="E15" i="131"/>
  <c r="G10" i="131"/>
  <c r="J18" i="130"/>
  <c r="F39" i="138" l="1"/>
  <c r="F43" i="138" s="1"/>
  <c r="F53" i="138" s="1"/>
  <c r="F63" i="138" s="1"/>
  <c r="F27" i="137"/>
  <c r="F29" i="137" s="1"/>
  <c r="F39" i="133"/>
  <c r="F43" i="133" s="1"/>
  <c r="F56" i="133" s="1"/>
  <c r="F66" i="133" s="1"/>
  <c r="F17" i="131"/>
  <c r="F19" i="131" s="1"/>
  <c r="E14" i="131"/>
  <c r="F39" i="131"/>
  <c r="F43" i="131" s="1"/>
  <c r="F53" i="131" s="1"/>
  <c r="F63" i="131" s="1"/>
  <c r="F27" i="131"/>
  <c r="F29" i="131" s="1"/>
  <c r="F56" i="130"/>
  <c r="E21" i="130" l="1"/>
  <c r="G18" i="130"/>
  <c r="E15" i="130"/>
  <c r="G17" i="130"/>
  <c r="E17" i="130" s="1"/>
  <c r="G22" i="130"/>
  <c r="E16" i="130" s="1"/>
  <c r="G66" i="130"/>
  <c r="F61" i="130"/>
  <c r="F49" i="130"/>
  <c r="F52" i="130" s="1"/>
  <c r="F28" i="130"/>
  <c r="E19" i="130"/>
  <c r="F40" i="130" s="1"/>
  <c r="E18" i="130"/>
  <c r="G10" i="130"/>
  <c r="F60" i="129"/>
  <c r="F17" i="130" l="1"/>
  <c r="F19" i="130" s="1"/>
  <c r="F39" i="130" s="1"/>
  <c r="F43" i="130" s="1"/>
  <c r="F53" i="130" s="1"/>
  <c r="F63" i="130" s="1"/>
  <c r="E14" i="130"/>
  <c r="F48" i="129"/>
  <c r="F27" i="130" l="1"/>
  <c r="F29" i="130" s="1"/>
  <c r="G66" i="129"/>
  <c r="F51" i="129"/>
  <c r="F27" i="129"/>
  <c r="E21" i="129"/>
  <c r="E19" i="129"/>
  <c r="F39" i="129" s="1"/>
  <c r="E18" i="129"/>
  <c r="E17" i="129"/>
  <c r="E16" i="129"/>
  <c r="E15" i="129"/>
  <c r="G10" i="129"/>
  <c r="E25" i="128"/>
  <c r="G66" i="128"/>
  <c r="F55" i="128"/>
  <c r="F60" i="128" s="1"/>
  <c r="F51" i="128"/>
  <c r="F52" i="128" s="1"/>
  <c r="F26" i="128"/>
  <c r="G23" i="128"/>
  <c r="E14" i="128" s="1"/>
  <c r="E19" i="128"/>
  <c r="E17" i="128"/>
  <c r="F39" i="128" s="1"/>
  <c r="E16" i="128"/>
  <c r="E15" i="128"/>
  <c r="E13" i="128"/>
  <c r="G10" i="128"/>
  <c r="E29" i="127"/>
  <c r="F26" i="127"/>
  <c r="G23" i="127"/>
  <c r="E14" i="127" s="1"/>
  <c r="G66" i="127"/>
  <c r="F55" i="127"/>
  <c r="F60" i="127" s="1"/>
  <c r="F51" i="127"/>
  <c r="F52" i="127" s="1"/>
  <c r="E19" i="127"/>
  <c r="E17" i="127"/>
  <c r="F39" i="127" s="1"/>
  <c r="E16" i="127"/>
  <c r="E15" i="127"/>
  <c r="E13" i="127"/>
  <c r="G10" i="127"/>
  <c r="F17" i="129" l="1"/>
  <c r="F19" i="129" s="1"/>
  <c r="F38" i="129" s="1"/>
  <c r="F42" i="129" s="1"/>
  <c r="F52" i="129" s="1"/>
  <c r="F62" i="129" s="1"/>
  <c r="E14" i="129"/>
  <c r="F15" i="128"/>
  <c r="F17" i="128" s="1"/>
  <c r="E12" i="128"/>
  <c r="F15" i="127"/>
  <c r="F17" i="127" s="1"/>
  <c r="F38" i="127" s="1"/>
  <c r="F42" i="127" s="1"/>
  <c r="F53" i="127" s="1"/>
  <c r="F62" i="127" s="1"/>
  <c r="E12" i="127"/>
  <c r="G66" i="126"/>
  <c r="F60" i="126"/>
  <c r="F55" i="126"/>
  <c r="F52" i="126"/>
  <c r="F51" i="126"/>
  <c r="F26" i="126"/>
  <c r="E19" i="126"/>
  <c r="E17" i="126"/>
  <c r="F39" i="126" s="1"/>
  <c r="E16" i="126"/>
  <c r="E15" i="126"/>
  <c r="E14" i="126"/>
  <c r="E13" i="126"/>
  <c r="F15" i="126" s="1"/>
  <c r="F17" i="126" s="1"/>
  <c r="G10" i="126"/>
  <c r="E26" i="125"/>
  <c r="F26" i="125"/>
  <c r="G66" i="125"/>
  <c r="F55" i="125"/>
  <c r="F60" i="125" s="1"/>
  <c r="F52" i="125"/>
  <c r="F51" i="125"/>
  <c r="E19" i="125"/>
  <c r="E17" i="125"/>
  <c r="F39" i="125" s="1"/>
  <c r="E16" i="125"/>
  <c r="E15" i="125"/>
  <c r="E14" i="125"/>
  <c r="E13" i="125"/>
  <c r="G10" i="125"/>
  <c r="E27" i="124"/>
  <c r="F26" i="129" l="1"/>
  <c r="F28" i="129" s="1"/>
  <c r="F38" i="128"/>
  <c r="F42" i="128" s="1"/>
  <c r="F53" i="128" s="1"/>
  <c r="F62" i="128" s="1"/>
  <c r="F25" i="128"/>
  <c r="F27" i="128" s="1"/>
  <c r="F25" i="127"/>
  <c r="F27" i="127" s="1"/>
  <c r="E12" i="126"/>
  <c r="F38" i="126"/>
  <c r="F42" i="126" s="1"/>
  <c r="F53" i="126" s="1"/>
  <c r="F62" i="126" s="1"/>
  <c r="F25" i="126"/>
  <c r="F27" i="126" s="1"/>
  <c r="F15" i="125"/>
  <c r="F17" i="125" s="1"/>
  <c r="F38" i="125" s="1"/>
  <c r="F42" i="125" s="1"/>
  <c r="F53" i="125" s="1"/>
  <c r="F62" i="125" s="1"/>
  <c r="E12" i="125"/>
  <c r="G66" i="124"/>
  <c r="F55" i="124"/>
  <c r="F60" i="124" s="1"/>
  <c r="F51" i="124"/>
  <c r="F52" i="124" s="1"/>
  <c r="F26" i="124"/>
  <c r="E19" i="124"/>
  <c r="E17" i="124"/>
  <c r="F39" i="124" s="1"/>
  <c r="E16" i="124"/>
  <c r="E15" i="124"/>
  <c r="E14" i="124"/>
  <c r="E13" i="124"/>
  <c r="G10" i="124"/>
  <c r="F25" i="125" l="1"/>
  <c r="F27" i="125" s="1"/>
  <c r="F15" i="124"/>
  <c r="F17" i="124" s="1"/>
  <c r="F38" i="124" s="1"/>
  <c r="F42" i="124" s="1"/>
  <c r="F53" i="124" s="1"/>
  <c r="F62" i="124" s="1"/>
  <c r="E12" i="124"/>
  <c r="E25" i="123"/>
  <c r="G66" i="123"/>
  <c r="F55" i="123"/>
  <c r="F60" i="123" s="1"/>
  <c r="F51" i="123"/>
  <c r="F52" i="123" s="1"/>
  <c r="F39" i="123"/>
  <c r="E19" i="123"/>
  <c r="E17" i="123"/>
  <c r="E16" i="123"/>
  <c r="E15" i="123"/>
  <c r="E14" i="123"/>
  <c r="E13" i="123"/>
  <c r="G10" i="123"/>
  <c r="G66" i="122"/>
  <c r="F55" i="122"/>
  <c r="F60" i="122" s="1"/>
  <c r="F51" i="122"/>
  <c r="F52" i="122" s="1"/>
  <c r="F26" i="122"/>
  <c r="E19" i="122"/>
  <c r="E17" i="122"/>
  <c r="F39" i="122" s="1"/>
  <c r="E16" i="122"/>
  <c r="E15" i="122"/>
  <c r="E14" i="122"/>
  <c r="E13" i="122"/>
  <c r="G10" i="122"/>
  <c r="E23" i="121"/>
  <c r="F25" i="124" l="1"/>
  <c r="F27" i="124" s="1"/>
  <c r="F26" i="123"/>
  <c r="F15" i="123"/>
  <c r="F17" i="123" s="1"/>
  <c r="F38" i="123" s="1"/>
  <c r="F42" i="123" s="1"/>
  <c r="F53" i="123" s="1"/>
  <c r="F62" i="123" s="1"/>
  <c r="E12" i="123"/>
  <c r="F15" i="122"/>
  <c r="F17" i="122" s="1"/>
  <c r="F25" i="122" s="1"/>
  <c r="F27" i="122" s="1"/>
  <c r="F38" i="122"/>
  <c r="F42" i="122" s="1"/>
  <c r="F53" i="122" s="1"/>
  <c r="F62" i="122" s="1"/>
  <c r="E12" i="122"/>
  <c r="G66" i="121"/>
  <c r="F55" i="121"/>
  <c r="F60" i="121" s="1"/>
  <c r="F51" i="121"/>
  <c r="F52" i="121" s="1"/>
  <c r="F26" i="121"/>
  <c r="E19" i="121"/>
  <c r="E17" i="121"/>
  <c r="F39" i="121" s="1"/>
  <c r="E16" i="121"/>
  <c r="E15" i="121"/>
  <c r="E14" i="121"/>
  <c r="E13" i="121"/>
  <c r="G10" i="121"/>
  <c r="E26" i="120"/>
  <c r="F26" i="120" s="1"/>
  <c r="G66" i="120"/>
  <c r="F55" i="120"/>
  <c r="F60" i="120" s="1"/>
  <c r="F51" i="120"/>
  <c r="F52" i="120" s="1"/>
  <c r="E19" i="120"/>
  <c r="E17" i="120"/>
  <c r="F39" i="120" s="1"/>
  <c r="E16" i="120"/>
  <c r="E15" i="120"/>
  <c r="E14" i="120"/>
  <c r="E13" i="120"/>
  <c r="G10" i="120"/>
  <c r="E19" i="119"/>
  <c r="F25" i="123" l="1"/>
  <c r="F27" i="123" s="1"/>
  <c r="F15" i="121"/>
  <c r="F17" i="121" s="1"/>
  <c r="F38" i="121" s="1"/>
  <c r="F42" i="121" s="1"/>
  <c r="F53" i="121" s="1"/>
  <c r="F62" i="121" s="1"/>
  <c r="F25" i="121"/>
  <c r="F27" i="121" s="1"/>
  <c r="E12" i="121"/>
  <c r="F15" i="120"/>
  <c r="F17" i="120" s="1"/>
  <c r="F38" i="120" s="1"/>
  <c r="F42" i="120" s="1"/>
  <c r="F53" i="120" s="1"/>
  <c r="F62" i="120" s="1"/>
  <c r="E12" i="120"/>
  <c r="G66" i="119"/>
  <c r="F55" i="119"/>
  <c r="F60" i="119" s="1"/>
  <c r="F52" i="119"/>
  <c r="F51" i="119"/>
  <c r="F26" i="119"/>
  <c r="E17" i="119"/>
  <c r="F39" i="119" s="1"/>
  <c r="E16" i="119"/>
  <c r="E15" i="119"/>
  <c r="E14" i="119"/>
  <c r="E13" i="119"/>
  <c r="G10" i="119"/>
  <c r="E24" i="118"/>
  <c r="E27" i="118"/>
  <c r="F25" i="120" l="1"/>
  <c r="F27" i="120" s="1"/>
  <c r="E12" i="119"/>
  <c r="F15" i="119"/>
  <c r="F17" i="119" s="1"/>
  <c r="G66" i="118"/>
  <c r="F55" i="118"/>
  <c r="F60" i="118" s="1"/>
  <c r="F51" i="118"/>
  <c r="F52" i="118" s="1"/>
  <c r="F26" i="118"/>
  <c r="E19" i="118"/>
  <c r="E17" i="118"/>
  <c r="F39" i="118" s="1"/>
  <c r="E16" i="118"/>
  <c r="E15" i="118"/>
  <c r="E14" i="118"/>
  <c r="E13" i="118"/>
  <c r="G10" i="118"/>
  <c r="E13" i="117"/>
  <c r="E17" i="117"/>
  <c r="F39" i="117" s="1"/>
  <c r="G66" i="117"/>
  <c r="F55" i="117"/>
  <c r="F60" i="117" s="1"/>
  <c r="F52" i="117"/>
  <c r="F51" i="117"/>
  <c r="F26" i="117"/>
  <c r="E19" i="117"/>
  <c r="E16" i="117"/>
  <c r="E15" i="117"/>
  <c r="E14" i="117"/>
  <c r="G10" i="117"/>
  <c r="G29" i="116"/>
  <c r="G28" i="116"/>
  <c r="G31" i="116"/>
  <c r="G66" i="116"/>
  <c r="F55" i="116"/>
  <c r="F60" i="116" s="1"/>
  <c r="F52" i="116"/>
  <c r="F51" i="116"/>
  <c r="F26" i="116"/>
  <c r="E21" i="116"/>
  <c r="E18" i="116"/>
  <c r="E17" i="116"/>
  <c r="E16" i="116"/>
  <c r="E15" i="116"/>
  <c r="G10" i="116"/>
  <c r="G29" i="115"/>
  <c r="G28" i="115"/>
  <c r="G31" i="115"/>
  <c r="F38" i="119" l="1"/>
  <c r="F42" i="119" s="1"/>
  <c r="F53" i="119" s="1"/>
  <c r="F62" i="119" s="1"/>
  <c r="F25" i="119"/>
  <c r="F27" i="119" s="1"/>
  <c r="F15" i="118"/>
  <c r="F17" i="118" s="1"/>
  <c r="F25" i="118" s="1"/>
  <c r="F27" i="118" s="1"/>
  <c r="E12" i="118"/>
  <c r="F15" i="117"/>
  <c r="F17" i="117" s="1"/>
  <c r="F38" i="117" s="1"/>
  <c r="F42" i="117" s="1"/>
  <c r="F53" i="117" s="1"/>
  <c r="F62" i="117" s="1"/>
  <c r="E12" i="117"/>
  <c r="E19" i="116"/>
  <c r="F39" i="116" s="1"/>
  <c r="E14" i="116"/>
  <c r="F15" i="116"/>
  <c r="F17" i="116" s="1"/>
  <c r="E25" i="115"/>
  <c r="F38" i="118" l="1"/>
  <c r="F42" i="118" s="1"/>
  <c r="F53" i="118" s="1"/>
  <c r="F62" i="118" s="1"/>
  <c r="F25" i="117"/>
  <c r="F27" i="117" s="1"/>
  <c r="F25" i="116"/>
  <c r="F27" i="116" s="1"/>
  <c r="F38" i="116"/>
  <c r="F42" i="116" s="1"/>
  <c r="F53" i="116" s="1"/>
  <c r="F62" i="116" s="1"/>
  <c r="E30" i="115"/>
  <c r="E19" i="115"/>
  <c r="F39" i="115" s="1"/>
  <c r="G66" i="115"/>
  <c r="F55" i="115"/>
  <c r="F60" i="115" s="1"/>
  <c r="F51" i="115"/>
  <c r="F52" i="115" s="1"/>
  <c r="F26" i="115"/>
  <c r="E21" i="115"/>
  <c r="E18" i="115"/>
  <c r="E17" i="115"/>
  <c r="E16" i="115"/>
  <c r="E15" i="115"/>
  <c r="G10" i="115"/>
  <c r="E30" i="114"/>
  <c r="F26" i="114" s="1"/>
  <c r="G28" i="114"/>
  <c r="G66" i="114"/>
  <c r="F60" i="114"/>
  <c r="F55" i="114"/>
  <c r="F52" i="114"/>
  <c r="F51" i="114"/>
  <c r="E21" i="114"/>
  <c r="E18" i="114"/>
  <c r="E17" i="114"/>
  <c r="E16" i="114"/>
  <c r="E15" i="114"/>
  <c r="G10" i="114"/>
  <c r="F51" i="113"/>
  <c r="F52" i="113" s="1"/>
  <c r="G31" i="113"/>
  <c r="G29" i="113"/>
  <c r="G28" i="113"/>
  <c r="G66" i="113"/>
  <c r="F55" i="113"/>
  <c r="F60" i="113" s="1"/>
  <c r="F26" i="113"/>
  <c r="E21" i="113"/>
  <c r="E18" i="113"/>
  <c r="E17" i="113"/>
  <c r="E16" i="113"/>
  <c r="E15" i="113"/>
  <c r="F15" i="113" s="1"/>
  <c r="F17" i="113" s="1"/>
  <c r="G10" i="113"/>
  <c r="G31" i="112"/>
  <c r="E19" i="112" s="1"/>
  <c r="F39" i="112" s="1"/>
  <c r="G29" i="112"/>
  <c r="G66" i="112"/>
  <c r="F55" i="112"/>
  <c r="F60" i="112" s="1"/>
  <c r="F51" i="112"/>
  <c r="F49" i="112"/>
  <c r="F52" i="112" s="1"/>
  <c r="G28" i="112"/>
  <c r="F26" i="112"/>
  <c r="E21" i="112"/>
  <c r="E18" i="112"/>
  <c r="E17" i="112"/>
  <c r="E16" i="112"/>
  <c r="E15" i="112"/>
  <c r="E14" i="112" s="1"/>
  <c r="G10" i="112"/>
  <c r="F49" i="111"/>
  <c r="F15" i="115" l="1"/>
  <c r="F17" i="115" s="1"/>
  <c r="F38" i="115" s="1"/>
  <c r="F42" i="115" s="1"/>
  <c r="F53" i="115" s="1"/>
  <c r="F62" i="115" s="1"/>
  <c r="E14" i="115"/>
  <c r="E14" i="114"/>
  <c r="F15" i="114"/>
  <c r="F17" i="114" s="1"/>
  <c r="F25" i="114" s="1"/>
  <c r="F27" i="114" s="1"/>
  <c r="E19" i="114"/>
  <c r="F39" i="114" s="1"/>
  <c r="F38" i="114"/>
  <c r="E19" i="113"/>
  <c r="F39" i="113" s="1"/>
  <c r="F38" i="113"/>
  <c r="F42" i="113" s="1"/>
  <c r="F53" i="113" s="1"/>
  <c r="F62" i="113" s="1"/>
  <c r="F25" i="113"/>
  <c r="F27" i="113" s="1"/>
  <c r="E14" i="113"/>
  <c r="F15" i="112"/>
  <c r="F17" i="112" s="1"/>
  <c r="F25" i="112"/>
  <c r="F27" i="112" s="1"/>
  <c r="F38" i="112"/>
  <c r="F42" i="112" s="1"/>
  <c r="F53" i="112" s="1"/>
  <c r="F62" i="112" s="1"/>
  <c r="F51" i="111"/>
  <c r="F52" i="111" s="1"/>
  <c r="G29" i="111"/>
  <c r="G28" i="111"/>
  <c r="G66" i="111"/>
  <c r="F55" i="111"/>
  <c r="F60" i="111" s="1"/>
  <c r="G31" i="111"/>
  <c r="F26" i="111"/>
  <c r="E21" i="111"/>
  <c r="E18" i="111"/>
  <c r="E17" i="111"/>
  <c r="E16" i="111"/>
  <c r="E15" i="111"/>
  <c r="F15" i="111" s="1"/>
  <c r="F17" i="111" s="1"/>
  <c r="G10" i="111"/>
  <c r="F49" i="110"/>
  <c r="F52" i="110"/>
  <c r="G31" i="110"/>
  <c r="G29" i="110"/>
  <c r="G28" i="110"/>
  <c r="G66" i="110"/>
  <c r="F55" i="110"/>
  <c r="F60" i="110" s="1"/>
  <c r="F26" i="110"/>
  <c r="E21" i="110"/>
  <c r="E18" i="110"/>
  <c r="E17" i="110"/>
  <c r="E16" i="110"/>
  <c r="E15" i="110"/>
  <c r="G10" i="110"/>
  <c r="E25" i="109"/>
  <c r="G31" i="109"/>
  <c r="G29" i="109"/>
  <c r="F25" i="115" l="1"/>
  <c r="F27" i="115" s="1"/>
  <c r="F42" i="114"/>
  <c r="F53" i="114" s="1"/>
  <c r="F62" i="114" s="1"/>
  <c r="E19" i="111"/>
  <c r="F39" i="111" s="1"/>
  <c r="E14" i="111"/>
  <c r="F25" i="111"/>
  <c r="F27" i="111" s="1"/>
  <c r="F38" i="111"/>
  <c r="F42" i="111" s="1"/>
  <c r="F53" i="111" s="1"/>
  <c r="F62" i="111" s="1"/>
  <c r="F15" i="110"/>
  <c r="F17" i="110" s="1"/>
  <c r="F38" i="110" s="1"/>
  <c r="E14" i="110"/>
  <c r="E19" i="110"/>
  <c r="F39" i="110" s="1"/>
  <c r="F25" i="110"/>
  <c r="F27" i="110" s="1"/>
  <c r="G28" i="109"/>
  <c r="G69" i="109"/>
  <c r="F63" i="109"/>
  <c r="F58" i="109"/>
  <c r="F55" i="109"/>
  <c r="F54" i="109"/>
  <c r="F26" i="109"/>
  <c r="E21" i="109"/>
  <c r="E19" i="109"/>
  <c r="F39" i="109" s="1"/>
  <c r="E18" i="109"/>
  <c r="E17" i="109"/>
  <c r="E16" i="109"/>
  <c r="E15" i="109"/>
  <c r="G10" i="109"/>
  <c r="E25" i="108"/>
  <c r="F26" i="108" s="1"/>
  <c r="G31" i="108"/>
  <c r="G29" i="108"/>
  <c r="G28" i="108"/>
  <c r="G69" i="108"/>
  <c r="F58" i="108"/>
  <c r="F63" i="108" s="1"/>
  <c r="F55" i="108"/>
  <c r="F54" i="108"/>
  <c r="E21" i="108"/>
  <c r="E18" i="108"/>
  <c r="E17" i="108"/>
  <c r="E16" i="108"/>
  <c r="E15" i="108"/>
  <c r="F15" i="108" s="1"/>
  <c r="F17" i="108" s="1"/>
  <c r="G10" i="108"/>
  <c r="G31" i="107"/>
  <c r="G28" i="107"/>
  <c r="G29" i="107"/>
  <c r="E19" i="107" s="1"/>
  <c r="F39" i="107" s="1"/>
  <c r="G69" i="107"/>
  <c r="F58" i="107"/>
  <c r="F63" i="107" s="1"/>
  <c r="F55" i="107"/>
  <c r="F54" i="107"/>
  <c r="F26" i="107"/>
  <c r="E21" i="107"/>
  <c r="E18" i="107"/>
  <c r="E17" i="107"/>
  <c r="E16" i="107"/>
  <c r="E15" i="107"/>
  <c r="F15" i="107" s="1"/>
  <c r="F17" i="107" s="1"/>
  <c r="G10" i="107"/>
  <c r="E14" i="106"/>
  <c r="G28" i="106"/>
  <c r="G29" i="106"/>
  <c r="G31" i="106"/>
  <c r="E19" i="106"/>
  <c r="F39" i="106" s="1"/>
  <c r="G69" i="106"/>
  <c r="F58" i="106"/>
  <c r="F63" i="106" s="1"/>
  <c r="F54" i="106"/>
  <c r="F55" i="106" s="1"/>
  <c r="F26" i="106"/>
  <c r="E21" i="106"/>
  <c r="E18" i="106"/>
  <c r="E17" i="106"/>
  <c r="E16" i="106"/>
  <c r="E15" i="106"/>
  <c r="F15" i="106" s="1"/>
  <c r="F17" i="106" s="1"/>
  <c r="G10" i="106"/>
  <c r="F54" i="105"/>
  <c r="F42" i="110" l="1"/>
  <c r="F53" i="110" s="1"/>
  <c r="F62" i="110" s="1"/>
  <c r="F15" i="109"/>
  <c r="F17" i="109" s="1"/>
  <c r="F25" i="109" s="1"/>
  <c r="F27" i="109" s="1"/>
  <c r="E14" i="109"/>
  <c r="F38" i="109"/>
  <c r="F42" i="109" s="1"/>
  <c r="F56" i="109" s="1"/>
  <c r="F65" i="109" s="1"/>
  <c r="E14" i="108"/>
  <c r="E19" i="108"/>
  <c r="F39" i="108" s="1"/>
  <c r="F25" i="108"/>
  <c r="F27" i="108" s="1"/>
  <c r="F38" i="108"/>
  <c r="F42" i="108" s="1"/>
  <c r="F56" i="108" s="1"/>
  <c r="F65" i="108" s="1"/>
  <c r="E14" i="107"/>
  <c r="F38" i="107"/>
  <c r="F42" i="107" s="1"/>
  <c r="F56" i="107" s="1"/>
  <c r="F65" i="107" s="1"/>
  <c r="F25" i="107"/>
  <c r="F27" i="107" s="1"/>
  <c r="F25" i="106"/>
  <c r="F27" i="106" s="1"/>
  <c r="F38" i="106"/>
  <c r="F42" i="106" s="1"/>
  <c r="F56" i="106" s="1"/>
  <c r="F65" i="106" s="1"/>
  <c r="L18" i="105"/>
  <c r="G31" i="105" l="1"/>
  <c r="G29" i="105"/>
  <c r="E19" i="105" s="1"/>
  <c r="F39" i="105" s="1"/>
  <c r="G69" i="105"/>
  <c r="F58" i="105"/>
  <c r="F63" i="105" s="1"/>
  <c r="F55" i="105"/>
  <c r="G28" i="105"/>
  <c r="F26" i="105"/>
  <c r="E21" i="105"/>
  <c r="E20" i="105" s="1"/>
  <c r="E18" i="105"/>
  <c r="E17" i="105"/>
  <c r="E16" i="105"/>
  <c r="E15" i="105"/>
  <c r="G10" i="105"/>
  <c r="G29" i="104"/>
  <c r="E20" i="104"/>
  <c r="E25" i="104"/>
  <c r="G68" i="104"/>
  <c r="F57" i="104"/>
  <c r="F62" i="104" s="1"/>
  <c r="F54" i="104"/>
  <c r="F53" i="104"/>
  <c r="F50" i="104"/>
  <c r="G31" i="104"/>
  <c r="E19" i="104"/>
  <c r="F39" i="104" s="1"/>
  <c r="G28" i="104"/>
  <c r="F26" i="104"/>
  <c r="E21" i="104"/>
  <c r="E18" i="104"/>
  <c r="E17" i="104"/>
  <c r="E16" i="104"/>
  <c r="E15" i="104"/>
  <c r="G10" i="104"/>
  <c r="F50" i="103"/>
  <c r="F53" i="103"/>
  <c r="G28" i="103"/>
  <c r="G68" i="103"/>
  <c r="F57" i="103"/>
  <c r="F62" i="103" s="1"/>
  <c r="F54" i="103"/>
  <c r="G31" i="103"/>
  <c r="G29" i="103"/>
  <c r="F26" i="103"/>
  <c r="E21" i="103"/>
  <c r="E19" i="103"/>
  <c r="F39" i="103" s="1"/>
  <c r="E18" i="103"/>
  <c r="E17" i="103"/>
  <c r="E16" i="103"/>
  <c r="E15" i="103"/>
  <c r="E14" i="103" s="1"/>
  <c r="G10" i="103"/>
  <c r="E25" i="102"/>
  <c r="E20" i="102"/>
  <c r="G28" i="102"/>
  <c r="G29" i="102"/>
  <c r="G31" i="102"/>
  <c r="G68" i="102"/>
  <c r="F57" i="102"/>
  <c r="F62" i="102" s="1"/>
  <c r="F54" i="102"/>
  <c r="F26" i="102"/>
  <c r="E21" i="102"/>
  <c r="E18" i="102"/>
  <c r="E17" i="102"/>
  <c r="E16" i="102"/>
  <c r="E15" i="102"/>
  <c r="G10" i="102"/>
  <c r="G31" i="101"/>
  <c r="G68" i="101"/>
  <c r="F57" i="101"/>
  <c r="F62" i="101" s="1"/>
  <c r="F49" i="101"/>
  <c r="F54" i="101" s="1"/>
  <c r="G29" i="101"/>
  <c r="G28" i="101"/>
  <c r="F26" i="101"/>
  <c r="E21" i="101"/>
  <c r="E18" i="101"/>
  <c r="E17" i="101"/>
  <c r="E16" i="101"/>
  <c r="E15" i="101"/>
  <c r="G10" i="101"/>
  <c r="F50" i="100"/>
  <c r="E14" i="105" l="1"/>
  <c r="F15" i="105"/>
  <c r="F17" i="105" s="1"/>
  <c r="F38" i="105" s="1"/>
  <c r="F42" i="105" s="1"/>
  <c r="F56" i="105" s="1"/>
  <c r="F65" i="105" s="1"/>
  <c r="F15" i="104"/>
  <c r="F17" i="104" s="1"/>
  <c r="E14" i="104"/>
  <c r="F25" i="104"/>
  <c r="F27" i="104" s="1"/>
  <c r="F38" i="104"/>
  <c r="F42" i="104" s="1"/>
  <c r="F55" i="104" s="1"/>
  <c r="F64" i="104" s="1"/>
  <c r="F15" i="103"/>
  <c r="F17" i="103" s="1"/>
  <c r="F25" i="103" s="1"/>
  <c r="F27" i="103" s="1"/>
  <c r="E14" i="102"/>
  <c r="E19" i="102"/>
  <c r="F39" i="102" s="1"/>
  <c r="F15" i="102"/>
  <c r="F17" i="102" s="1"/>
  <c r="E19" i="101"/>
  <c r="F39" i="101" s="1"/>
  <c r="F15" i="101"/>
  <c r="F17" i="101" s="1"/>
  <c r="F38" i="101" s="1"/>
  <c r="F42" i="101" s="1"/>
  <c r="F55" i="101" s="1"/>
  <c r="F64" i="101" s="1"/>
  <c r="E14" i="101"/>
  <c r="E21" i="100"/>
  <c r="G31" i="100"/>
  <c r="G29" i="100"/>
  <c r="G28" i="100"/>
  <c r="G68" i="100"/>
  <c r="F58" i="100"/>
  <c r="F63" i="100" s="1"/>
  <c r="F55" i="100"/>
  <c r="F27" i="100"/>
  <c r="E18" i="100"/>
  <c r="E17" i="100"/>
  <c r="E16" i="100"/>
  <c r="E15" i="100"/>
  <c r="E14" i="100" s="1"/>
  <c r="G10" i="100"/>
  <c r="G31" i="99"/>
  <c r="G29" i="99"/>
  <c r="E19" i="99" s="1"/>
  <c r="F40" i="99" s="1"/>
  <c r="G64" i="99"/>
  <c r="F54" i="99"/>
  <c r="F59" i="99" s="1"/>
  <c r="F50" i="99"/>
  <c r="F51" i="99"/>
  <c r="G28" i="99"/>
  <c r="F27" i="99"/>
  <c r="E21" i="99"/>
  <c r="E18" i="99"/>
  <c r="E17" i="99"/>
  <c r="E16" i="99"/>
  <c r="E15" i="99"/>
  <c r="G10" i="99"/>
  <c r="L18" i="98"/>
  <c r="N18" i="98"/>
  <c r="N17" i="98"/>
  <c r="N16" i="98"/>
  <c r="F25" i="105" l="1"/>
  <c r="F27" i="105" s="1"/>
  <c r="F38" i="103"/>
  <c r="F42" i="103" s="1"/>
  <c r="F55" i="103" s="1"/>
  <c r="F64" i="103" s="1"/>
  <c r="F38" i="102"/>
  <c r="F42" i="102" s="1"/>
  <c r="F55" i="102" s="1"/>
  <c r="F64" i="102" s="1"/>
  <c r="F25" i="102"/>
  <c r="F27" i="102" s="1"/>
  <c r="F25" i="101"/>
  <c r="F27" i="101" s="1"/>
  <c r="E19" i="100"/>
  <c r="F40" i="100" s="1"/>
  <c r="F15" i="100"/>
  <c r="F17" i="100" s="1"/>
  <c r="F39" i="100" s="1"/>
  <c r="E14" i="99"/>
  <c r="F15" i="99"/>
  <c r="F17" i="99" s="1"/>
  <c r="F39" i="99"/>
  <c r="F43" i="99" s="1"/>
  <c r="F52" i="99" s="1"/>
  <c r="F61" i="99" s="1"/>
  <c r="F26" i="99"/>
  <c r="F28" i="99" s="1"/>
  <c r="F17" i="98"/>
  <c r="E26" i="98"/>
  <c r="G31" i="98"/>
  <c r="G29" i="98"/>
  <c r="G28" i="98"/>
  <c r="F50" i="98"/>
  <c r="F47" i="98"/>
  <c r="G64" i="98"/>
  <c r="F54" i="98"/>
  <c r="F59" i="98" s="1"/>
  <c r="F27" i="98"/>
  <c r="E21" i="98"/>
  <c r="E18" i="98"/>
  <c r="E17" i="98"/>
  <c r="E16" i="98"/>
  <c r="E15" i="98"/>
  <c r="G10" i="98"/>
  <c r="F19" i="97"/>
  <c r="F17" i="97"/>
  <c r="F26" i="100" l="1"/>
  <c r="F28" i="100" s="1"/>
  <c r="F43" i="100"/>
  <c r="F56" i="100" s="1"/>
  <c r="F65" i="100" s="1"/>
  <c r="F51" i="98"/>
  <c r="F26" i="98"/>
  <c r="F28" i="98" s="1"/>
  <c r="F15" i="98"/>
  <c r="E19" i="98"/>
  <c r="F40" i="98" s="1"/>
  <c r="E14" i="98"/>
  <c r="F39" i="98"/>
  <c r="F43" i="98" s="1"/>
  <c r="E25" i="97"/>
  <c r="F52" i="98" l="1"/>
  <c r="F61" i="98" s="1"/>
  <c r="G29" i="97"/>
  <c r="G31" i="97"/>
  <c r="G28" i="97"/>
  <c r="F25" i="97"/>
  <c r="G64" i="97"/>
  <c r="F53" i="97"/>
  <c r="F58" i="97" s="1"/>
  <c r="F50" i="97"/>
  <c r="E21" i="97"/>
  <c r="E18" i="97"/>
  <c r="E17" i="97"/>
  <c r="E16" i="97"/>
  <c r="E15" i="97"/>
  <c r="F15" i="97" s="1"/>
  <c r="G10" i="97"/>
  <c r="E21" i="96"/>
  <c r="G31" i="96"/>
  <c r="G64" i="96"/>
  <c r="F53" i="96"/>
  <c r="F58" i="96" s="1"/>
  <c r="F50" i="96"/>
  <c r="G29" i="96"/>
  <c r="E19" i="96" s="1"/>
  <c r="F39" i="96" s="1"/>
  <c r="G28" i="96"/>
  <c r="E18" i="96"/>
  <c r="E17" i="96"/>
  <c r="E16" i="96"/>
  <c r="E15" i="96"/>
  <c r="G10" i="96"/>
  <c r="G29" i="95"/>
  <c r="G28" i="95"/>
  <c r="G65" i="95"/>
  <c r="F53" i="95"/>
  <c r="F58" i="95" s="1"/>
  <c r="F50" i="95"/>
  <c r="G31" i="95"/>
  <c r="E21" i="95"/>
  <c r="E18" i="95"/>
  <c r="E17" i="95"/>
  <c r="E16" i="95"/>
  <c r="E15" i="95"/>
  <c r="G10" i="95"/>
  <c r="E24" i="94"/>
  <c r="E21" i="94"/>
  <c r="E26" i="94"/>
  <c r="G29" i="94"/>
  <c r="G28" i="94"/>
  <c r="G68" i="94"/>
  <c r="F56" i="94"/>
  <c r="F61" i="94" s="1"/>
  <c r="F53" i="94"/>
  <c r="F51" i="94"/>
  <c r="F50" i="94"/>
  <c r="G31" i="94"/>
  <c r="E18" i="94"/>
  <c r="E17" i="94"/>
  <c r="E16" i="94"/>
  <c r="F15" i="94"/>
  <c r="F17" i="94" s="1"/>
  <c r="E15" i="94"/>
  <c r="G10" i="94"/>
  <c r="G31" i="93"/>
  <c r="G29" i="93"/>
  <c r="G28" i="93"/>
  <c r="G68" i="93"/>
  <c r="F56" i="93"/>
  <c r="F61" i="93" s="1"/>
  <c r="F51" i="93"/>
  <c r="F50" i="93"/>
  <c r="F53" i="93" s="1"/>
  <c r="E21" i="93"/>
  <c r="E18" i="93"/>
  <c r="E17" i="93"/>
  <c r="E16" i="93"/>
  <c r="E15" i="93"/>
  <c r="G10" i="93"/>
  <c r="E24" i="92"/>
  <c r="E25" i="92"/>
  <c r="F50" i="92"/>
  <c r="F53" i="92"/>
  <c r="G32" i="92"/>
  <c r="G30" i="92"/>
  <c r="G29" i="92"/>
  <c r="E19" i="92" s="1"/>
  <c r="F38" i="92" s="1"/>
  <c r="G69" i="92"/>
  <c r="F56" i="92"/>
  <c r="F61" i="92" s="1"/>
  <c r="F51" i="92"/>
  <c r="F22" i="92"/>
  <c r="E21" i="92"/>
  <c r="E18" i="92"/>
  <c r="E17" i="92"/>
  <c r="E16" i="92"/>
  <c r="E15" i="92"/>
  <c r="G10" i="92"/>
  <c r="F52" i="91"/>
  <c r="F50" i="91"/>
  <c r="E20" i="91"/>
  <c r="E21" i="91"/>
  <c r="G29" i="91"/>
  <c r="G68" i="91"/>
  <c r="F57" i="91"/>
  <c r="F62" i="91" s="1"/>
  <c r="G32" i="91"/>
  <c r="G30" i="91"/>
  <c r="F23" i="91"/>
  <c r="E15" i="91"/>
  <c r="E18" i="91"/>
  <c r="E17" i="91"/>
  <c r="E16" i="91"/>
  <c r="G10" i="91"/>
  <c r="F49" i="90"/>
  <c r="G29" i="90"/>
  <c r="G28" i="90"/>
  <c r="G31" i="90"/>
  <c r="E19" i="97" l="1"/>
  <c r="F39" i="97" s="1"/>
  <c r="F38" i="97"/>
  <c r="F42" i="97" s="1"/>
  <c r="F51" i="97" s="1"/>
  <c r="F60" i="97" s="1"/>
  <c r="F24" i="97"/>
  <c r="F26" i="97" s="1"/>
  <c r="E14" i="97"/>
  <c r="F15" i="96"/>
  <c r="F17" i="96" s="1"/>
  <c r="F24" i="96" s="1"/>
  <c r="F38" i="96"/>
  <c r="F42" i="96" s="1"/>
  <c r="F51" i="96" s="1"/>
  <c r="F60" i="96" s="1"/>
  <c r="E14" i="96"/>
  <c r="E14" i="95"/>
  <c r="F15" i="95"/>
  <c r="F17" i="95" s="1"/>
  <c r="F23" i="95" s="1"/>
  <c r="E19" i="95"/>
  <c r="F38" i="95" s="1"/>
  <c r="E14" i="94"/>
  <c r="E19" i="94"/>
  <c r="F38" i="94" s="1"/>
  <c r="F23" i="94"/>
  <c r="F37" i="94"/>
  <c r="F41" i="94" s="1"/>
  <c r="F54" i="94" s="1"/>
  <c r="F63" i="94" s="1"/>
  <c r="E14" i="93"/>
  <c r="E19" i="93"/>
  <c r="F38" i="93" s="1"/>
  <c r="F15" i="93"/>
  <c r="F17" i="93" s="1"/>
  <c r="F15" i="92"/>
  <c r="F17" i="92" s="1"/>
  <c r="F23" i="92" s="1"/>
  <c r="E14" i="92"/>
  <c r="F37" i="92"/>
  <c r="F41" i="92" s="1"/>
  <c r="F54" i="92" s="1"/>
  <c r="F63" i="92" s="1"/>
  <c r="F54" i="91"/>
  <c r="E19" i="91"/>
  <c r="F40" i="91" s="1"/>
  <c r="F15" i="91"/>
  <c r="F17" i="91" s="1"/>
  <c r="E14" i="91"/>
  <c r="J18" i="90"/>
  <c r="E15" i="90" s="1"/>
  <c r="G67" i="90"/>
  <c r="F56" i="90"/>
  <c r="F61" i="90" s="1"/>
  <c r="F51" i="90"/>
  <c r="F53" i="90" s="1"/>
  <c r="E19" i="90"/>
  <c r="F39" i="90" s="1"/>
  <c r="F22" i="90"/>
  <c r="E21" i="90"/>
  <c r="E18" i="90"/>
  <c r="E17" i="90"/>
  <c r="E16" i="90"/>
  <c r="G10" i="90"/>
  <c r="F22" i="89"/>
  <c r="G66" i="89"/>
  <c r="F61" i="89"/>
  <c r="F56" i="89"/>
  <c r="F53" i="89"/>
  <c r="F51" i="89"/>
  <c r="F40" i="89"/>
  <c r="G31" i="89"/>
  <c r="G29" i="89"/>
  <c r="G28" i="89"/>
  <c r="E21" i="89"/>
  <c r="E19" i="89"/>
  <c r="J18" i="89"/>
  <c r="E18" i="89"/>
  <c r="E17" i="89"/>
  <c r="E16" i="89"/>
  <c r="E14" i="89" s="1"/>
  <c r="F15" i="89"/>
  <c r="F17" i="89" s="1"/>
  <c r="F39" i="89" s="1"/>
  <c r="F43" i="89" s="1"/>
  <c r="F54" i="89" s="1"/>
  <c r="F63" i="89" s="1"/>
  <c r="E15" i="89"/>
  <c r="G10" i="89"/>
  <c r="G66" i="88"/>
  <c r="F63" i="88"/>
  <c r="F61" i="88"/>
  <c r="F56" i="88"/>
  <c r="F54" i="88"/>
  <c r="F53" i="88"/>
  <c r="F51" i="88"/>
  <c r="F43" i="88"/>
  <c r="F40" i="88"/>
  <c r="F39" i="88"/>
  <c r="G31" i="88"/>
  <c r="G29" i="88"/>
  <c r="G28" i="88"/>
  <c r="F25" i="88"/>
  <c r="F22" i="88"/>
  <c r="E21" i="88"/>
  <c r="E19" i="88"/>
  <c r="J18" i="88"/>
  <c r="E18" i="88"/>
  <c r="F17" i="88"/>
  <c r="E17" i="88"/>
  <c r="E16" i="88"/>
  <c r="F15" i="88"/>
  <c r="E15" i="88"/>
  <c r="E14" i="88"/>
  <c r="G10" i="88"/>
  <c r="G66" i="87"/>
  <c r="F62" i="87"/>
  <c r="F60" i="87"/>
  <c r="F55" i="87"/>
  <c r="F53" i="87"/>
  <c r="F52" i="87"/>
  <c r="F50" i="87"/>
  <c r="F48" i="87"/>
  <c r="F42" i="87"/>
  <c r="F39" i="87"/>
  <c r="F38" i="87"/>
  <c r="G31" i="87"/>
  <c r="G29" i="87"/>
  <c r="G28" i="87"/>
  <c r="F24" i="87"/>
  <c r="F22" i="87"/>
  <c r="E21" i="87"/>
  <c r="E19" i="87"/>
  <c r="J18" i="87"/>
  <c r="E18" i="87"/>
  <c r="F17" i="87"/>
  <c r="E17" i="87"/>
  <c r="E16" i="87"/>
  <c r="F15" i="87"/>
  <c r="E15" i="87"/>
  <c r="E14" i="87"/>
  <c r="G10" i="87"/>
  <c r="F72" i="86"/>
  <c r="E72" i="86"/>
  <c r="E71" i="86"/>
  <c r="E70" i="86"/>
  <c r="G66" i="86"/>
  <c r="F62" i="86"/>
  <c r="F60" i="86"/>
  <c r="F55" i="86"/>
  <c r="F53" i="86"/>
  <c r="F52" i="86"/>
  <c r="F48" i="86"/>
  <c r="F42" i="86"/>
  <c r="F39" i="86"/>
  <c r="F38" i="86"/>
  <c r="G31" i="86"/>
  <c r="G29" i="86"/>
  <c r="G28" i="86"/>
  <c r="F24" i="86"/>
  <c r="F22" i="86"/>
  <c r="E21" i="86"/>
  <c r="E19" i="86"/>
  <c r="E18" i="86"/>
  <c r="F17" i="86"/>
  <c r="E17" i="86"/>
  <c r="E16" i="86"/>
  <c r="F15" i="86"/>
  <c r="E15" i="86"/>
  <c r="E14" i="86"/>
  <c r="G10" i="86"/>
  <c r="F75" i="85"/>
  <c r="E75" i="85"/>
  <c r="E74" i="85"/>
  <c r="E73" i="85"/>
  <c r="G69" i="85"/>
  <c r="F65" i="85"/>
  <c r="F63" i="85"/>
  <c r="F58" i="85"/>
  <c r="F56" i="85"/>
  <c r="F55" i="85"/>
  <c r="F50" i="85"/>
  <c r="F42" i="85"/>
  <c r="F39" i="85"/>
  <c r="F38" i="85"/>
  <c r="G31" i="85"/>
  <c r="E31" i="85"/>
  <c r="G29" i="85"/>
  <c r="G28" i="85"/>
  <c r="F24" i="85"/>
  <c r="F22" i="85"/>
  <c r="E21" i="85"/>
  <c r="E19" i="85"/>
  <c r="G18" i="85"/>
  <c r="E18" i="85"/>
  <c r="F17" i="85"/>
  <c r="E17" i="85"/>
  <c r="E16" i="85"/>
  <c r="F15" i="85"/>
  <c r="E15" i="85"/>
  <c r="E14" i="85"/>
  <c r="G10" i="85"/>
  <c r="F75" i="83"/>
  <c r="E75" i="83"/>
  <c r="E74" i="83"/>
  <c r="E73" i="83"/>
  <c r="G69" i="83"/>
  <c r="F65" i="83"/>
  <c r="F63" i="83"/>
  <c r="F58" i="83"/>
  <c r="F56" i="83"/>
  <c r="F55" i="83"/>
  <c r="F50" i="83"/>
  <c r="F42" i="83"/>
  <c r="F39" i="83"/>
  <c r="F38" i="83"/>
  <c r="G31" i="83"/>
  <c r="G29" i="83"/>
  <c r="G28" i="83"/>
  <c r="F24" i="83"/>
  <c r="F22" i="83"/>
  <c r="E21" i="83"/>
  <c r="E19" i="83"/>
  <c r="E18" i="83"/>
  <c r="F17" i="83"/>
  <c r="E17" i="83"/>
  <c r="E16" i="83"/>
  <c r="F15" i="83"/>
  <c r="E15" i="83"/>
  <c r="E14" i="83"/>
  <c r="G10" i="83"/>
  <c r="F75" i="82"/>
  <c r="E75" i="82"/>
  <c r="E74" i="82"/>
  <c r="E73" i="82"/>
  <c r="G69" i="82"/>
  <c r="F65" i="82"/>
  <c r="F63" i="82"/>
  <c r="F58" i="82"/>
  <c r="F56" i="82"/>
  <c r="F55" i="82"/>
  <c r="F42" i="82"/>
  <c r="F39" i="82"/>
  <c r="F38" i="82"/>
  <c r="G31" i="82"/>
  <c r="G29" i="82"/>
  <c r="G28" i="82"/>
  <c r="F24" i="82"/>
  <c r="F22" i="82"/>
  <c r="E21" i="82"/>
  <c r="E19" i="82"/>
  <c r="E18" i="82"/>
  <c r="F17" i="82"/>
  <c r="E17" i="82"/>
  <c r="J16" i="82"/>
  <c r="E16" i="82"/>
  <c r="F15" i="82"/>
  <c r="E15" i="82"/>
  <c r="E14" i="82"/>
  <c r="G10" i="82"/>
  <c r="F70" i="81"/>
  <c r="E70" i="81"/>
  <c r="G69" i="81"/>
  <c r="E69" i="81"/>
  <c r="E68" i="81"/>
  <c r="F60" i="81"/>
  <c r="M58" i="81"/>
  <c r="F58" i="81"/>
  <c r="M57" i="81"/>
  <c r="F55" i="81"/>
  <c r="F53" i="81"/>
  <c r="F51" i="81"/>
  <c r="F50" i="81"/>
  <c r="F46" i="81"/>
  <c r="M43" i="81"/>
  <c r="F42" i="81"/>
  <c r="F40" i="81"/>
  <c r="M39" i="81"/>
  <c r="F39" i="81"/>
  <c r="F38" i="81"/>
  <c r="G31" i="81"/>
  <c r="G29" i="81"/>
  <c r="G28" i="81"/>
  <c r="F24" i="81"/>
  <c r="F22" i="81"/>
  <c r="E21" i="81"/>
  <c r="E19" i="81"/>
  <c r="E18" i="81"/>
  <c r="F17" i="81"/>
  <c r="E17" i="81"/>
  <c r="E16" i="81"/>
  <c r="F15" i="81"/>
  <c r="E15" i="81"/>
  <c r="E14" i="81"/>
  <c r="G10" i="81"/>
  <c r="F70" i="80"/>
  <c r="E70" i="80"/>
  <c r="G69" i="80"/>
  <c r="E69" i="80"/>
  <c r="E68" i="80"/>
  <c r="F60" i="80"/>
  <c r="M58" i="80"/>
  <c r="F58" i="80"/>
  <c r="M57" i="80"/>
  <c r="F55" i="80"/>
  <c r="F53" i="80"/>
  <c r="F51" i="80"/>
  <c r="F50" i="80"/>
  <c r="F46" i="80"/>
  <c r="M43" i="80"/>
  <c r="F42" i="80"/>
  <c r="F40" i="80"/>
  <c r="M39" i="80"/>
  <c r="F39" i="80"/>
  <c r="F38" i="80"/>
  <c r="G31" i="80"/>
  <c r="G29" i="80"/>
  <c r="G28" i="80"/>
  <c r="F24" i="80"/>
  <c r="F22" i="80"/>
  <c r="E21" i="80"/>
  <c r="E19" i="80"/>
  <c r="J18" i="80"/>
  <c r="E18" i="80"/>
  <c r="F17" i="80"/>
  <c r="E17" i="80"/>
  <c r="E16" i="80"/>
  <c r="F15" i="80"/>
  <c r="E15" i="80"/>
  <c r="E14" i="80"/>
  <c r="G10" i="80"/>
  <c r="F70" i="79"/>
  <c r="E70" i="79"/>
  <c r="G69" i="79"/>
  <c r="E69" i="79"/>
  <c r="E68" i="79"/>
  <c r="F60" i="79"/>
  <c r="M58" i="79"/>
  <c r="F58" i="79"/>
  <c r="M57" i="79"/>
  <c r="F55" i="79"/>
  <c r="F53" i="79"/>
  <c r="F51" i="79"/>
  <c r="F50" i="79"/>
  <c r="F46" i="79"/>
  <c r="M43" i="79"/>
  <c r="F42" i="79"/>
  <c r="F40" i="79"/>
  <c r="M39" i="79"/>
  <c r="F39" i="79"/>
  <c r="F38" i="79"/>
  <c r="G31" i="79"/>
  <c r="G29" i="79"/>
  <c r="G28" i="79"/>
  <c r="F24" i="79"/>
  <c r="F22" i="79"/>
  <c r="E21" i="79"/>
  <c r="E19" i="79"/>
  <c r="E18" i="79"/>
  <c r="F17" i="79"/>
  <c r="E17" i="79"/>
  <c r="E16" i="79"/>
  <c r="F15" i="79"/>
  <c r="E15" i="79"/>
  <c r="E14" i="79"/>
  <c r="G10" i="79"/>
  <c r="F70" i="78"/>
  <c r="E70" i="78"/>
  <c r="G69" i="78"/>
  <c r="E69" i="78"/>
  <c r="E68" i="78"/>
  <c r="F60" i="78"/>
  <c r="M58" i="78"/>
  <c r="F58" i="78"/>
  <c r="M57" i="78"/>
  <c r="F55" i="78"/>
  <c r="F53" i="78"/>
  <c r="F51" i="78"/>
  <c r="F50" i="78"/>
  <c r="F46" i="78"/>
  <c r="M43" i="78"/>
  <c r="F42" i="78"/>
  <c r="F40" i="78"/>
  <c r="M39" i="78"/>
  <c r="F39" i="78"/>
  <c r="F38" i="78"/>
  <c r="G31" i="78"/>
  <c r="G29" i="78"/>
  <c r="G28" i="78"/>
  <c r="F24" i="78"/>
  <c r="F22" i="78"/>
  <c r="E21" i="78"/>
  <c r="E19" i="78"/>
  <c r="E18" i="78"/>
  <c r="F17" i="78"/>
  <c r="E17" i="78"/>
  <c r="E16" i="78"/>
  <c r="F15" i="78"/>
  <c r="E15" i="78"/>
  <c r="E14" i="78"/>
  <c r="G10" i="78"/>
  <c r="F70" i="77"/>
  <c r="E70" i="77"/>
  <c r="G69" i="77"/>
  <c r="E69" i="77"/>
  <c r="E68" i="77"/>
  <c r="F60" i="77"/>
  <c r="M59" i="77"/>
  <c r="M58" i="77"/>
  <c r="F58" i="77"/>
  <c r="F55" i="77"/>
  <c r="F53" i="77"/>
  <c r="F51" i="77"/>
  <c r="M50" i="77"/>
  <c r="F50" i="77"/>
  <c r="M43" i="77"/>
  <c r="F42" i="77"/>
  <c r="F40" i="77"/>
  <c r="M39" i="77"/>
  <c r="F39" i="77"/>
  <c r="F38" i="77"/>
  <c r="G31" i="77"/>
  <c r="G29" i="77"/>
  <c r="G28" i="77"/>
  <c r="F24" i="77"/>
  <c r="F22" i="77"/>
  <c r="E21" i="77"/>
  <c r="E19" i="77"/>
  <c r="E18" i="77"/>
  <c r="F17" i="77"/>
  <c r="E17" i="77"/>
  <c r="E16" i="77"/>
  <c r="F15" i="77"/>
  <c r="E15" i="77"/>
  <c r="E14" i="77"/>
  <c r="G10" i="77"/>
  <c r="F68" i="76"/>
  <c r="E68" i="76"/>
  <c r="G67" i="76"/>
  <c r="E67" i="76"/>
  <c r="M57" i="76"/>
  <c r="M56" i="76"/>
  <c r="I53" i="76"/>
  <c r="F53" i="76"/>
  <c r="I52" i="76"/>
  <c r="F52" i="76"/>
  <c r="J51" i="76"/>
  <c r="F51" i="76"/>
  <c r="M50" i="76"/>
  <c r="J50" i="76"/>
  <c r="I50" i="76"/>
  <c r="F50" i="76"/>
  <c r="I49" i="76"/>
  <c r="I48" i="76"/>
  <c r="J47" i="76"/>
  <c r="I46" i="76"/>
  <c r="M43" i="76"/>
  <c r="J43" i="76"/>
  <c r="I43" i="76"/>
  <c r="F42" i="76"/>
  <c r="I41" i="76"/>
  <c r="I40" i="76"/>
  <c r="F40" i="76"/>
  <c r="M39" i="76"/>
  <c r="J39" i="76"/>
  <c r="I39" i="76"/>
  <c r="F39" i="76"/>
  <c r="F38" i="76"/>
  <c r="G31" i="76"/>
  <c r="G29" i="76"/>
  <c r="G28" i="76"/>
  <c r="F24" i="76"/>
  <c r="F22" i="76"/>
  <c r="E21" i="76"/>
  <c r="E19" i="76"/>
  <c r="E18" i="76"/>
  <c r="F17" i="76"/>
  <c r="E17" i="76"/>
  <c r="E16" i="76"/>
  <c r="F15" i="76"/>
  <c r="E15" i="76"/>
  <c r="E14" i="76"/>
  <c r="G10" i="76"/>
  <c r="F69" i="75"/>
  <c r="E69" i="75"/>
  <c r="E68" i="75"/>
  <c r="G67" i="75"/>
  <c r="M57" i="75"/>
  <c r="M56" i="75"/>
  <c r="F54" i="75"/>
  <c r="I53" i="75"/>
  <c r="F53" i="75"/>
  <c r="I52" i="75"/>
  <c r="F52" i="75"/>
  <c r="J51" i="75"/>
  <c r="F51" i="75"/>
  <c r="M50" i="75"/>
  <c r="J50" i="75"/>
  <c r="I50" i="75"/>
  <c r="I49" i="75"/>
  <c r="I48" i="75"/>
  <c r="J47" i="75"/>
  <c r="I46" i="75"/>
  <c r="M43" i="75"/>
  <c r="J43" i="75"/>
  <c r="I43" i="75"/>
  <c r="F43" i="75"/>
  <c r="I41" i="75"/>
  <c r="F41" i="75"/>
  <c r="I40" i="75"/>
  <c r="F40" i="75"/>
  <c r="M39" i="75"/>
  <c r="J39" i="75"/>
  <c r="I39" i="75"/>
  <c r="F39" i="75"/>
  <c r="G31" i="75"/>
  <c r="G29" i="75"/>
  <c r="E29" i="75"/>
  <c r="G28" i="75"/>
  <c r="F25" i="75"/>
  <c r="F22" i="75"/>
  <c r="E21" i="75"/>
  <c r="E19" i="75"/>
  <c r="E18" i="75"/>
  <c r="F17" i="75"/>
  <c r="E17" i="75"/>
  <c r="E16" i="75"/>
  <c r="F15" i="75"/>
  <c r="E15" i="75"/>
  <c r="E14" i="75"/>
  <c r="G10" i="75"/>
  <c r="F69" i="74"/>
  <c r="E69" i="74"/>
  <c r="E68" i="74"/>
  <c r="G67" i="74"/>
  <c r="M57" i="74"/>
  <c r="M56" i="74"/>
  <c r="F54" i="74"/>
  <c r="I53" i="74"/>
  <c r="F53" i="74"/>
  <c r="I52" i="74"/>
  <c r="F52" i="74"/>
  <c r="J51" i="74"/>
  <c r="F51" i="74"/>
  <c r="M50" i="74"/>
  <c r="J50" i="74"/>
  <c r="I50" i="74"/>
  <c r="I49" i="74"/>
  <c r="I48" i="74"/>
  <c r="J47" i="74"/>
  <c r="I46" i="74"/>
  <c r="M43" i="74"/>
  <c r="J43" i="74"/>
  <c r="I43" i="74"/>
  <c r="F43" i="74"/>
  <c r="I41" i="74"/>
  <c r="F41" i="74"/>
  <c r="I40" i="74"/>
  <c r="F40" i="74"/>
  <c r="M39" i="74"/>
  <c r="J39" i="74"/>
  <c r="I39" i="74"/>
  <c r="F39" i="74"/>
  <c r="G31" i="74"/>
  <c r="G29" i="74"/>
  <c r="G28" i="74"/>
  <c r="F25" i="74"/>
  <c r="F22" i="74"/>
  <c r="E21" i="74"/>
  <c r="E19" i="74"/>
  <c r="E18" i="74"/>
  <c r="F17" i="74"/>
  <c r="E17" i="74"/>
  <c r="E16" i="74"/>
  <c r="F15" i="74"/>
  <c r="E15" i="74"/>
  <c r="E14" i="74"/>
  <c r="G10" i="74"/>
  <c r="G68" i="73"/>
  <c r="F68" i="73"/>
  <c r="E68" i="73"/>
  <c r="F60" i="73"/>
  <c r="F58" i="73"/>
  <c r="F56" i="73"/>
  <c r="F55" i="73"/>
  <c r="F53" i="73"/>
  <c r="F52" i="73"/>
  <c r="F43" i="73"/>
  <c r="F41" i="73"/>
  <c r="F40" i="73"/>
  <c r="F39" i="73"/>
  <c r="G31" i="73"/>
  <c r="G29" i="73"/>
  <c r="G28" i="73"/>
  <c r="E28" i="73"/>
  <c r="F23" i="73"/>
  <c r="F22" i="73"/>
  <c r="E21" i="73"/>
  <c r="E19" i="73"/>
  <c r="E18" i="73"/>
  <c r="F17" i="73"/>
  <c r="E17" i="73"/>
  <c r="E16" i="73"/>
  <c r="F15" i="73"/>
  <c r="E15" i="73"/>
  <c r="E14" i="73"/>
  <c r="G10" i="73"/>
  <c r="G69" i="72"/>
  <c r="F69" i="72"/>
  <c r="E69" i="72"/>
  <c r="F61" i="72"/>
  <c r="F59" i="72"/>
  <c r="F57" i="72"/>
  <c r="F56" i="72"/>
  <c r="F54" i="72"/>
  <c r="F53" i="72"/>
  <c r="F43" i="72"/>
  <c r="F40" i="72"/>
  <c r="F39" i="72"/>
  <c r="G31" i="72"/>
  <c r="G29" i="72"/>
  <c r="G28" i="72"/>
  <c r="E25" i="72"/>
  <c r="F23" i="72"/>
  <c r="F22" i="72"/>
  <c r="E21" i="72"/>
  <c r="E19" i="72"/>
  <c r="E18" i="72"/>
  <c r="F17" i="72"/>
  <c r="E17" i="72"/>
  <c r="E16" i="72"/>
  <c r="F15" i="72"/>
  <c r="E15" i="72"/>
  <c r="E14" i="72"/>
  <c r="G10" i="72"/>
  <c r="G69" i="71"/>
  <c r="F69" i="71"/>
  <c r="E69" i="71"/>
  <c r="F61" i="71"/>
  <c r="F59" i="71"/>
  <c r="F57" i="71"/>
  <c r="F56" i="71"/>
  <c r="F54" i="71"/>
  <c r="F53" i="71"/>
  <c r="F52" i="71"/>
  <c r="F51" i="71"/>
  <c r="F43" i="71"/>
  <c r="F40" i="71"/>
  <c r="F39" i="71"/>
  <c r="G31" i="71"/>
  <c r="G29" i="71"/>
  <c r="G28" i="71"/>
  <c r="E24" i="71"/>
  <c r="F23" i="71"/>
  <c r="F22" i="71"/>
  <c r="E21" i="71"/>
  <c r="E19" i="71"/>
  <c r="E18" i="71"/>
  <c r="F17" i="71"/>
  <c r="E17" i="71"/>
  <c r="E16" i="71"/>
  <c r="F15" i="71"/>
  <c r="E15" i="71"/>
  <c r="E14" i="71"/>
  <c r="G10" i="71"/>
  <c r="G69" i="70"/>
  <c r="F69" i="70"/>
  <c r="E69" i="70"/>
  <c r="F61" i="70"/>
  <c r="F59" i="70"/>
  <c r="F57" i="70"/>
  <c r="F56" i="70"/>
  <c r="F54" i="70"/>
  <c r="F53" i="70"/>
  <c r="F52" i="70"/>
  <c r="F51" i="70"/>
  <c r="F43" i="70"/>
  <c r="F40" i="70"/>
  <c r="F39" i="70"/>
  <c r="G31" i="70"/>
  <c r="G29" i="70"/>
  <c r="G28" i="70"/>
  <c r="F23" i="70"/>
  <c r="F22" i="70"/>
  <c r="E21" i="70"/>
  <c r="E19" i="70"/>
  <c r="E18" i="70"/>
  <c r="F17" i="70"/>
  <c r="E17" i="70"/>
  <c r="E16" i="70"/>
  <c r="F15" i="70"/>
  <c r="E15" i="70"/>
  <c r="E14" i="70"/>
  <c r="G10" i="70"/>
  <c r="G69" i="69"/>
  <c r="F69" i="69"/>
  <c r="E69" i="69"/>
  <c r="F61" i="69"/>
  <c r="F59" i="69"/>
  <c r="F57" i="69"/>
  <c r="F56" i="69"/>
  <c r="F54" i="69"/>
  <c r="F53" i="69"/>
  <c r="F52" i="69"/>
  <c r="F51" i="69"/>
  <c r="F43" i="69"/>
  <c r="F40" i="69"/>
  <c r="F39" i="69"/>
  <c r="G31" i="69"/>
  <c r="G29" i="69"/>
  <c r="G28" i="69"/>
  <c r="F23" i="69"/>
  <c r="F22" i="69"/>
  <c r="E21" i="69"/>
  <c r="E19" i="69"/>
  <c r="E18" i="69"/>
  <c r="F17" i="69"/>
  <c r="E17" i="69"/>
  <c r="E16" i="69"/>
  <c r="F15" i="69"/>
  <c r="E15" i="69"/>
  <c r="E14" i="69"/>
  <c r="G10" i="69"/>
  <c r="G69" i="68"/>
  <c r="F69" i="68"/>
  <c r="E69" i="68"/>
  <c r="F61" i="68"/>
  <c r="F59" i="68"/>
  <c r="F57" i="68"/>
  <c r="F56" i="68"/>
  <c r="F54" i="68"/>
  <c r="F53" i="68"/>
  <c r="F52" i="68"/>
  <c r="F51" i="68"/>
  <c r="F50" i="68"/>
  <c r="F43" i="68"/>
  <c r="F40" i="68"/>
  <c r="F39" i="68"/>
  <c r="G31" i="68"/>
  <c r="G29" i="68"/>
  <c r="G28" i="68"/>
  <c r="F23" i="68"/>
  <c r="F22" i="68"/>
  <c r="E21" i="68"/>
  <c r="E19" i="68"/>
  <c r="E18" i="68"/>
  <c r="F17" i="68"/>
  <c r="E17" i="68"/>
  <c r="E16" i="68"/>
  <c r="F15" i="68"/>
  <c r="E15" i="68"/>
  <c r="E14" i="68"/>
  <c r="G10" i="68"/>
  <c r="G69" i="67"/>
  <c r="F69" i="67"/>
  <c r="E69" i="67"/>
  <c r="F61" i="67"/>
  <c r="F59" i="67"/>
  <c r="F57" i="67"/>
  <c r="F56" i="67"/>
  <c r="F54" i="67"/>
  <c r="F53" i="67"/>
  <c r="F50" i="67"/>
  <c r="F43" i="67"/>
  <c r="F40" i="67"/>
  <c r="F39" i="67"/>
  <c r="G31" i="67"/>
  <c r="G29" i="67"/>
  <c r="G28" i="67"/>
  <c r="E24" i="67"/>
  <c r="F23" i="67"/>
  <c r="F22" i="67"/>
  <c r="E21" i="67"/>
  <c r="E19" i="67"/>
  <c r="E18" i="67"/>
  <c r="F17" i="67"/>
  <c r="E17" i="67"/>
  <c r="E16" i="67"/>
  <c r="F15" i="67"/>
  <c r="E15" i="67"/>
  <c r="E14" i="67"/>
  <c r="G10" i="67"/>
  <c r="F60" i="66"/>
  <c r="F58" i="66"/>
  <c r="F56" i="66"/>
  <c r="F55" i="66"/>
  <c r="F53" i="66"/>
  <c r="F52" i="66"/>
  <c r="F45" i="66"/>
  <c r="F43" i="66"/>
  <c r="F40" i="66"/>
  <c r="F39" i="66"/>
  <c r="G31" i="66"/>
  <c r="G28" i="66"/>
  <c r="F23" i="66"/>
  <c r="F22" i="66"/>
  <c r="E21" i="66"/>
  <c r="E19" i="66"/>
  <c r="E18" i="66"/>
  <c r="J17" i="66"/>
  <c r="F17" i="66"/>
  <c r="E17" i="66"/>
  <c r="E16" i="66"/>
  <c r="F15" i="66"/>
  <c r="E15" i="66"/>
  <c r="E14" i="66"/>
  <c r="G10" i="66"/>
  <c r="F60" i="65"/>
  <c r="F58" i="65"/>
  <c r="F56" i="65"/>
  <c r="F55" i="65"/>
  <c r="F53" i="65"/>
  <c r="F52" i="65"/>
  <c r="F45" i="65"/>
  <c r="F43" i="65"/>
  <c r="F40" i="65"/>
  <c r="F39" i="65"/>
  <c r="G31" i="65"/>
  <c r="G28" i="65"/>
  <c r="F23" i="65"/>
  <c r="F22" i="65"/>
  <c r="E21" i="65"/>
  <c r="E19" i="65"/>
  <c r="E18" i="65"/>
  <c r="J17" i="65"/>
  <c r="F17" i="65"/>
  <c r="E17" i="65"/>
  <c r="E16" i="65"/>
  <c r="F15" i="65"/>
  <c r="E15" i="65"/>
  <c r="E14" i="65"/>
  <c r="G10" i="65"/>
  <c r="F59" i="64"/>
  <c r="F57" i="64"/>
  <c r="F55" i="64"/>
  <c r="F54" i="64"/>
  <c r="F52" i="64"/>
  <c r="F51" i="64"/>
  <c r="F50" i="64"/>
  <c r="F44" i="64"/>
  <c r="F42" i="64"/>
  <c r="F40" i="64"/>
  <c r="F39" i="64"/>
  <c r="F38" i="64"/>
  <c r="G30" i="64"/>
  <c r="G27" i="64"/>
  <c r="E25" i="64"/>
  <c r="F22" i="64"/>
  <c r="F21" i="64"/>
  <c r="E20" i="64"/>
  <c r="E18" i="64"/>
  <c r="F17" i="64"/>
  <c r="E17" i="64"/>
  <c r="E16" i="64"/>
  <c r="F15" i="64"/>
  <c r="E15" i="64"/>
  <c r="E14" i="64"/>
  <c r="G10" i="64"/>
  <c r="F59" i="63"/>
  <c r="F57" i="63"/>
  <c r="F55" i="63"/>
  <c r="F54" i="63"/>
  <c r="F52" i="63"/>
  <c r="F51" i="63"/>
  <c r="F48" i="63"/>
  <c r="F44" i="63"/>
  <c r="F42" i="63"/>
  <c r="F40" i="63"/>
  <c r="F39" i="63"/>
  <c r="F38" i="63"/>
  <c r="G30" i="63"/>
  <c r="G27" i="63"/>
  <c r="F22" i="63"/>
  <c r="F21" i="63"/>
  <c r="E20" i="63"/>
  <c r="J18" i="63"/>
  <c r="E18" i="63"/>
  <c r="F17" i="63"/>
  <c r="E17" i="63"/>
  <c r="E16" i="63"/>
  <c r="F15" i="63"/>
  <c r="E15" i="63"/>
  <c r="E14" i="63"/>
  <c r="G10" i="63"/>
  <c r="F63" i="62"/>
  <c r="F61" i="62"/>
  <c r="F59" i="62"/>
  <c r="F58" i="62"/>
  <c r="F56" i="62"/>
  <c r="F55" i="62"/>
  <c r="F50" i="62"/>
  <c r="F42" i="62"/>
  <c r="F40" i="62"/>
  <c r="F39" i="62"/>
  <c r="F38" i="62"/>
  <c r="G30" i="62"/>
  <c r="G27" i="62"/>
  <c r="E25" i="62"/>
  <c r="E23" i="62"/>
  <c r="F22" i="62"/>
  <c r="F21" i="62"/>
  <c r="E20" i="62"/>
  <c r="E19" i="62"/>
  <c r="E18" i="62"/>
  <c r="F17" i="62"/>
  <c r="E17" i="62"/>
  <c r="E16" i="62"/>
  <c r="F15" i="62"/>
  <c r="E15" i="62"/>
  <c r="E14" i="62"/>
  <c r="G10" i="62"/>
  <c r="F63" i="61"/>
  <c r="F61" i="61"/>
  <c r="F59" i="61"/>
  <c r="F58" i="61"/>
  <c r="F56" i="61"/>
  <c r="F55" i="61"/>
  <c r="F50" i="61"/>
  <c r="F42" i="61"/>
  <c r="F40" i="61"/>
  <c r="F39" i="61"/>
  <c r="F38" i="61"/>
  <c r="G30" i="61"/>
  <c r="G27" i="61"/>
  <c r="E23" i="61"/>
  <c r="F22" i="61"/>
  <c r="F21" i="61"/>
  <c r="E20" i="61"/>
  <c r="E19" i="61"/>
  <c r="E18" i="61"/>
  <c r="F17" i="61"/>
  <c r="E17" i="61"/>
  <c r="E16" i="61"/>
  <c r="F15" i="61"/>
  <c r="E15" i="61"/>
  <c r="E14" i="61"/>
  <c r="G10" i="61"/>
  <c r="F63" i="60"/>
  <c r="F61" i="60"/>
  <c r="F59" i="60"/>
  <c r="F58" i="60"/>
  <c r="F56" i="60"/>
  <c r="F55" i="60"/>
  <c r="F50" i="60"/>
  <c r="F42" i="60"/>
  <c r="F39" i="60"/>
  <c r="F38" i="60"/>
  <c r="G30" i="60"/>
  <c r="G27" i="60"/>
  <c r="O24" i="60"/>
  <c r="N24" i="60"/>
  <c r="P23" i="60"/>
  <c r="O22" i="60"/>
  <c r="F22" i="60"/>
  <c r="F21" i="60"/>
  <c r="E20" i="60"/>
  <c r="E19" i="60"/>
  <c r="J18" i="60"/>
  <c r="E18" i="60"/>
  <c r="F17" i="60"/>
  <c r="E17" i="60"/>
  <c r="E16" i="60"/>
  <c r="F15" i="60"/>
  <c r="E15" i="60"/>
  <c r="E14" i="60"/>
  <c r="O12" i="60"/>
  <c r="O11" i="60"/>
  <c r="G10" i="60"/>
  <c r="F63" i="59"/>
  <c r="F61" i="59"/>
  <c r="F59" i="59"/>
  <c r="F58" i="59"/>
  <c r="F56" i="59"/>
  <c r="F55" i="59"/>
  <c r="F51" i="59"/>
  <c r="F50" i="59"/>
  <c r="F42" i="59"/>
  <c r="F39" i="59"/>
  <c r="F38" i="59"/>
  <c r="G30" i="59"/>
  <c r="G27" i="59"/>
  <c r="F22" i="59"/>
  <c r="F21" i="59"/>
  <c r="E20" i="59"/>
  <c r="E18" i="59"/>
  <c r="F17" i="59"/>
  <c r="E17" i="59"/>
  <c r="E16" i="59"/>
  <c r="F15" i="59"/>
  <c r="E15" i="59"/>
  <c r="E14" i="59"/>
  <c r="G10" i="59"/>
  <c r="F59" i="58"/>
  <c r="F57" i="58"/>
  <c r="F55" i="58"/>
  <c r="F54" i="58"/>
  <c r="F52" i="58"/>
  <c r="F51" i="58"/>
  <c r="F46" i="58"/>
  <c r="F42" i="58"/>
  <c r="F39" i="58"/>
  <c r="F38" i="58"/>
  <c r="G30" i="58"/>
  <c r="G27" i="58"/>
  <c r="F22" i="58"/>
  <c r="F21" i="58"/>
  <c r="E20" i="58"/>
  <c r="E18" i="58"/>
  <c r="F17" i="58"/>
  <c r="E17" i="58"/>
  <c r="E16" i="58"/>
  <c r="F15" i="58"/>
  <c r="E15" i="58"/>
  <c r="E14" i="58"/>
  <c r="G10" i="58"/>
  <c r="F59" i="57"/>
  <c r="F57" i="57"/>
  <c r="F55" i="57"/>
  <c r="F54" i="57"/>
  <c r="F52" i="57"/>
  <c r="F51" i="57"/>
  <c r="F50" i="57"/>
  <c r="F42" i="57"/>
  <c r="F39" i="57"/>
  <c r="F38" i="57"/>
  <c r="G30" i="57"/>
  <c r="G27" i="57"/>
  <c r="E25" i="57"/>
  <c r="F22" i="57"/>
  <c r="F21" i="57"/>
  <c r="E20" i="57"/>
  <c r="E18" i="57"/>
  <c r="F17" i="57"/>
  <c r="E17" i="57"/>
  <c r="E16" i="57"/>
  <c r="F15" i="57"/>
  <c r="E15" i="57"/>
  <c r="E14" i="57"/>
  <c r="G10" i="57"/>
  <c r="F60" i="56"/>
  <c r="F58" i="56"/>
  <c r="F56" i="56"/>
  <c r="F55" i="56"/>
  <c r="F53" i="56"/>
  <c r="F52" i="56"/>
  <c r="F43" i="56"/>
  <c r="F40" i="56"/>
  <c r="F39" i="56"/>
  <c r="G30" i="56"/>
  <c r="G27" i="56"/>
  <c r="F22" i="56"/>
  <c r="F21" i="56"/>
  <c r="E20" i="56"/>
  <c r="E18" i="56"/>
  <c r="F17" i="56"/>
  <c r="E17" i="56"/>
  <c r="E16" i="56"/>
  <c r="F15" i="56"/>
  <c r="E15" i="56"/>
  <c r="E14" i="56"/>
  <c r="G10" i="56"/>
  <c r="F61" i="55"/>
  <c r="F59" i="55"/>
  <c r="F57" i="55"/>
  <c r="F56" i="55"/>
  <c r="F54" i="55"/>
  <c r="F53" i="55"/>
  <c r="F48" i="55"/>
  <c r="F43" i="55"/>
  <c r="F40" i="55"/>
  <c r="F39" i="55"/>
  <c r="G30" i="55"/>
  <c r="G27" i="55"/>
  <c r="F22" i="55"/>
  <c r="F21" i="55"/>
  <c r="E20" i="55"/>
  <c r="E18" i="55"/>
  <c r="F17" i="55"/>
  <c r="E17" i="55"/>
  <c r="E16" i="55"/>
  <c r="F15" i="55"/>
  <c r="E15" i="55"/>
  <c r="E14" i="55"/>
  <c r="G10" i="55"/>
  <c r="F64" i="54"/>
  <c r="F62" i="54"/>
  <c r="F60" i="54"/>
  <c r="F59" i="54"/>
  <c r="F57" i="54"/>
  <c r="F56" i="54"/>
  <c r="F43" i="54"/>
  <c r="F40" i="54"/>
  <c r="F39" i="54"/>
  <c r="G30" i="54"/>
  <c r="G27" i="54"/>
  <c r="F22" i="54"/>
  <c r="F21" i="54"/>
  <c r="E20" i="54"/>
  <c r="E18" i="54"/>
  <c r="F17" i="54"/>
  <c r="E17" i="54"/>
  <c r="E16" i="54"/>
  <c r="F15" i="54"/>
  <c r="E15" i="54"/>
  <c r="E14" i="54"/>
  <c r="G10" i="54"/>
  <c r="F64" i="53"/>
  <c r="F62" i="53"/>
  <c r="F60" i="53"/>
  <c r="F59" i="53"/>
  <c r="F57" i="53"/>
  <c r="F56" i="53"/>
  <c r="F55" i="53"/>
  <c r="F43" i="53"/>
  <c r="F40" i="53"/>
  <c r="F39" i="53"/>
  <c r="G30" i="53"/>
  <c r="G27" i="53"/>
  <c r="F22" i="53"/>
  <c r="F21" i="53"/>
  <c r="E20" i="53"/>
  <c r="E18" i="53"/>
  <c r="F17" i="53"/>
  <c r="E17" i="53"/>
  <c r="E16" i="53"/>
  <c r="F15" i="53"/>
  <c r="E15" i="53"/>
  <c r="E14" i="53"/>
  <c r="G10" i="53"/>
  <c r="F64" i="52"/>
  <c r="F62" i="52"/>
  <c r="F60" i="52"/>
  <c r="F59" i="52"/>
  <c r="F57" i="52"/>
  <c r="F56" i="52"/>
  <c r="F55" i="52"/>
  <c r="F43" i="52"/>
  <c r="F40" i="52"/>
  <c r="F39" i="52"/>
  <c r="G30" i="52"/>
  <c r="G27" i="52"/>
  <c r="F22" i="52"/>
  <c r="F21" i="52"/>
  <c r="E20" i="52"/>
  <c r="E19" i="52"/>
  <c r="E18" i="52"/>
  <c r="F17" i="52"/>
  <c r="E17" i="52"/>
  <c r="E16" i="52"/>
  <c r="F15" i="52"/>
  <c r="E15" i="52"/>
  <c r="E14" i="52"/>
  <c r="G10" i="52"/>
  <c r="F64" i="51"/>
  <c r="F62" i="51"/>
  <c r="F60" i="51"/>
  <c r="F59" i="51"/>
  <c r="F57" i="51"/>
  <c r="F56" i="51"/>
  <c r="F55" i="51"/>
  <c r="F51" i="51"/>
  <c r="F43" i="51"/>
  <c r="F40" i="51"/>
  <c r="F39" i="51"/>
  <c r="G30" i="51"/>
  <c r="G27" i="51"/>
  <c r="F22" i="51"/>
  <c r="F21" i="51"/>
  <c r="E20" i="51"/>
  <c r="E18" i="51"/>
  <c r="F17" i="51"/>
  <c r="E17" i="51"/>
  <c r="E16" i="51"/>
  <c r="F15" i="51"/>
  <c r="E15" i="51"/>
  <c r="E14" i="51"/>
  <c r="G10" i="51"/>
  <c r="F64" i="50"/>
  <c r="F62" i="50"/>
  <c r="F60" i="50"/>
  <c r="F59" i="50"/>
  <c r="F57" i="50"/>
  <c r="F56" i="50"/>
  <c r="F51" i="50"/>
  <c r="F43" i="50"/>
  <c r="F40" i="50"/>
  <c r="F39" i="50"/>
  <c r="G30" i="50"/>
  <c r="G27" i="50"/>
  <c r="F22" i="50"/>
  <c r="F21" i="50"/>
  <c r="E20" i="50"/>
  <c r="E18" i="50"/>
  <c r="F17" i="50"/>
  <c r="E17" i="50"/>
  <c r="E16" i="50"/>
  <c r="F15" i="50"/>
  <c r="E15" i="50"/>
  <c r="E14" i="50"/>
  <c r="G10" i="50"/>
  <c r="F66" i="49"/>
  <c r="F64" i="49"/>
  <c r="F62" i="49"/>
  <c r="F61" i="49"/>
  <c r="J59" i="49"/>
  <c r="F59" i="49"/>
  <c r="J58" i="49"/>
  <c r="F58" i="49"/>
  <c r="J53" i="49"/>
  <c r="I53" i="49"/>
  <c r="J45" i="49"/>
  <c r="I45" i="49"/>
  <c r="F45" i="49"/>
  <c r="F42" i="49"/>
  <c r="F41" i="49"/>
  <c r="G30" i="49"/>
  <c r="G27" i="49"/>
  <c r="F27" i="49"/>
  <c r="F24" i="49"/>
  <c r="F23" i="49"/>
  <c r="E20" i="49"/>
  <c r="E18" i="49"/>
  <c r="G17" i="49"/>
  <c r="F17" i="49"/>
  <c r="E17" i="49"/>
  <c r="E16" i="49"/>
  <c r="F15" i="49"/>
  <c r="E15" i="49"/>
  <c r="E14" i="49"/>
  <c r="G10" i="49"/>
  <c r="F62" i="48"/>
  <c r="F60" i="48"/>
  <c r="F58" i="48"/>
  <c r="F57" i="48"/>
  <c r="F55" i="48"/>
  <c r="F54" i="48"/>
  <c r="F41" i="48"/>
  <c r="F38" i="48"/>
  <c r="F37" i="48"/>
  <c r="F31" i="48"/>
  <c r="G30" i="48"/>
  <c r="G27" i="48"/>
  <c r="F25" i="48"/>
  <c r="F24" i="48"/>
  <c r="E24" i="48"/>
  <c r="E20" i="48"/>
  <c r="E19" i="48"/>
  <c r="E18" i="48"/>
  <c r="G17" i="48"/>
  <c r="F17" i="48"/>
  <c r="E17" i="48"/>
  <c r="E16" i="48"/>
  <c r="F15" i="48"/>
  <c r="E15" i="48"/>
  <c r="E14" i="48"/>
  <c r="G10" i="48"/>
  <c r="F64" i="47"/>
  <c r="F62" i="47"/>
  <c r="F60" i="47"/>
  <c r="F59" i="47"/>
  <c r="F57" i="47"/>
  <c r="F56" i="47"/>
  <c r="F53" i="47"/>
  <c r="F43" i="47"/>
  <c r="F40" i="47"/>
  <c r="F39" i="47"/>
  <c r="F33" i="47"/>
  <c r="G30" i="47"/>
  <c r="G27" i="47"/>
  <c r="F27" i="47"/>
  <c r="F26" i="47"/>
  <c r="E26" i="47"/>
  <c r="E20" i="47"/>
  <c r="E18" i="47"/>
  <c r="F17" i="47"/>
  <c r="E17" i="47"/>
  <c r="E16" i="47"/>
  <c r="F15" i="47"/>
  <c r="E15" i="47"/>
  <c r="E14" i="47"/>
  <c r="G10" i="47"/>
  <c r="F61" i="46"/>
  <c r="F59" i="46"/>
  <c r="F57" i="46"/>
  <c r="F56" i="46"/>
  <c r="F54" i="46"/>
  <c r="F53" i="46"/>
  <c r="F50" i="46"/>
  <c r="F46" i="46"/>
  <c r="F40" i="46"/>
  <c r="F37" i="46"/>
  <c r="F36" i="46"/>
  <c r="F30" i="46"/>
  <c r="E28" i="46"/>
  <c r="G27" i="46"/>
  <c r="F24" i="46"/>
  <c r="F23" i="46"/>
  <c r="E20" i="46"/>
  <c r="E18" i="46"/>
  <c r="G17" i="46"/>
  <c r="F17" i="46"/>
  <c r="E17" i="46"/>
  <c r="E16" i="46"/>
  <c r="F15" i="46"/>
  <c r="E15" i="46"/>
  <c r="E14" i="46"/>
  <c r="G10" i="46"/>
  <c r="F61" i="45"/>
  <c r="F59" i="45"/>
  <c r="F57" i="45"/>
  <c r="F56" i="45"/>
  <c r="F54" i="45"/>
  <c r="F53" i="45"/>
  <c r="F46" i="45"/>
  <c r="K42" i="45"/>
  <c r="F40" i="45"/>
  <c r="F37" i="45"/>
  <c r="F36" i="45"/>
  <c r="M32" i="45"/>
  <c r="N31" i="45"/>
  <c r="F30" i="45"/>
  <c r="O28" i="45"/>
  <c r="G27" i="45"/>
  <c r="O26" i="45"/>
  <c r="N26" i="45"/>
  <c r="F24" i="45"/>
  <c r="F23" i="45"/>
  <c r="O21" i="45"/>
  <c r="E20" i="45"/>
  <c r="E18" i="45"/>
  <c r="G17" i="45"/>
  <c r="F17" i="45"/>
  <c r="E17" i="45"/>
  <c r="O16" i="45"/>
  <c r="E16" i="45"/>
  <c r="F15" i="45"/>
  <c r="E15" i="45"/>
  <c r="O14" i="45"/>
  <c r="E14" i="45"/>
  <c r="G10" i="45"/>
  <c r="F68" i="44"/>
  <c r="F66" i="44"/>
  <c r="F64" i="44"/>
  <c r="F63" i="44"/>
  <c r="F61" i="44"/>
  <c r="F60" i="44"/>
  <c r="F58" i="44"/>
  <c r="F57" i="44"/>
  <c r="F55" i="44"/>
  <c r="F45" i="44"/>
  <c r="F42" i="44"/>
  <c r="F41" i="44"/>
  <c r="F35" i="44"/>
  <c r="F29" i="44"/>
  <c r="F28" i="44"/>
  <c r="E28" i="44"/>
  <c r="G27" i="44"/>
  <c r="E20" i="44"/>
  <c r="E18" i="44"/>
  <c r="F17" i="44"/>
  <c r="E17" i="44"/>
  <c r="E16" i="44"/>
  <c r="F15" i="44"/>
  <c r="E15" i="44"/>
  <c r="E14" i="44"/>
  <c r="G10" i="44"/>
  <c r="F63" i="42"/>
  <c r="F61" i="42"/>
  <c r="F59" i="42"/>
  <c r="F58" i="42"/>
  <c r="F56" i="42"/>
  <c r="F55" i="42"/>
  <c r="F52" i="42"/>
  <c r="F50" i="42"/>
  <c r="F40" i="42"/>
  <c r="F37" i="42"/>
  <c r="F36" i="42"/>
  <c r="F30" i="42"/>
  <c r="G27" i="42"/>
  <c r="F24" i="42"/>
  <c r="F23" i="42"/>
  <c r="L20" i="42"/>
  <c r="E20" i="42"/>
  <c r="S19" i="42"/>
  <c r="R19" i="42"/>
  <c r="L19" i="42"/>
  <c r="S18" i="42"/>
  <c r="R18" i="42"/>
  <c r="E18" i="42"/>
  <c r="S17" i="42"/>
  <c r="R17" i="42"/>
  <c r="Q17" i="42"/>
  <c r="P17" i="42"/>
  <c r="O17" i="42"/>
  <c r="F17" i="42"/>
  <c r="E17" i="42"/>
  <c r="E16" i="42"/>
  <c r="F15" i="42"/>
  <c r="E15" i="42"/>
  <c r="E14" i="42"/>
  <c r="G10" i="42"/>
  <c r="F63" i="41"/>
  <c r="F61" i="41"/>
  <c r="F59" i="41"/>
  <c r="F58" i="41"/>
  <c r="F56" i="41"/>
  <c r="F55" i="41"/>
  <c r="F52" i="41"/>
  <c r="F50" i="41"/>
  <c r="F40" i="41"/>
  <c r="F37" i="41"/>
  <c r="F36" i="41"/>
  <c r="F30" i="41"/>
  <c r="G27" i="41"/>
  <c r="F24" i="41"/>
  <c r="F23" i="41"/>
  <c r="E20" i="41"/>
  <c r="E18" i="41"/>
  <c r="F17" i="41"/>
  <c r="E17" i="41"/>
  <c r="E16" i="41"/>
  <c r="F15" i="41"/>
  <c r="E15" i="41"/>
  <c r="E14" i="41"/>
  <c r="G10" i="41"/>
  <c r="F63" i="40"/>
  <c r="F61" i="40"/>
  <c r="F59" i="40"/>
  <c r="F58" i="40"/>
  <c r="F56" i="40"/>
  <c r="F55" i="40"/>
  <c r="F52" i="40"/>
  <c r="F50" i="40"/>
  <c r="F48" i="40"/>
  <c r="F40" i="40"/>
  <c r="F37" i="40"/>
  <c r="F36" i="40"/>
  <c r="F30" i="40"/>
  <c r="G27" i="40"/>
  <c r="F24" i="40"/>
  <c r="F23" i="40"/>
  <c r="E20" i="40"/>
  <c r="E18" i="40"/>
  <c r="F17" i="40"/>
  <c r="E17" i="40"/>
  <c r="E16" i="40"/>
  <c r="F15" i="40"/>
  <c r="E15" i="40"/>
  <c r="E14" i="40"/>
  <c r="G10" i="40"/>
  <c r="F62" i="39"/>
  <c r="F60" i="39"/>
  <c r="F58" i="39"/>
  <c r="F57" i="39"/>
  <c r="F55" i="39"/>
  <c r="F54" i="39"/>
  <c r="F47" i="39"/>
  <c r="F39" i="39"/>
  <c r="B38" i="39"/>
  <c r="B37" i="39"/>
  <c r="F36" i="39"/>
  <c r="F35" i="39"/>
  <c r="F29" i="39"/>
  <c r="G27" i="39"/>
  <c r="F21" i="39"/>
  <c r="F20" i="39"/>
  <c r="E20" i="39"/>
  <c r="E18" i="39"/>
  <c r="F17" i="39"/>
  <c r="E17" i="39"/>
  <c r="E16" i="39"/>
  <c r="F15" i="39"/>
  <c r="E15" i="39"/>
  <c r="E14" i="39"/>
  <c r="G10" i="39"/>
  <c r="L61" i="38"/>
  <c r="L59" i="38"/>
  <c r="F58" i="38"/>
  <c r="L57" i="38"/>
  <c r="L56" i="38"/>
  <c r="F56" i="38"/>
  <c r="L54" i="38"/>
  <c r="L53" i="38"/>
  <c r="F53" i="38"/>
  <c r="F51" i="38"/>
  <c r="F50" i="38"/>
  <c r="L47" i="38"/>
  <c r="F41" i="38"/>
  <c r="L40" i="38"/>
  <c r="F38" i="38"/>
  <c r="L37" i="38"/>
  <c r="F37" i="38"/>
  <c r="L36" i="38"/>
  <c r="F31" i="38"/>
  <c r="E28" i="38"/>
  <c r="G27" i="38"/>
  <c r="F21" i="38"/>
  <c r="F20" i="38"/>
  <c r="E20" i="38"/>
  <c r="E18" i="38"/>
  <c r="F17" i="38"/>
  <c r="E17" i="38"/>
  <c r="E16" i="38"/>
  <c r="F15" i="38"/>
  <c r="E15" i="38"/>
  <c r="E14" i="38"/>
  <c r="G10" i="38"/>
  <c r="L61" i="37"/>
  <c r="L59" i="37"/>
  <c r="L57" i="37"/>
  <c r="F57" i="37"/>
  <c r="L56" i="37"/>
  <c r="F55" i="37"/>
  <c r="L54" i="37"/>
  <c r="L53" i="37"/>
  <c r="F52" i="37"/>
  <c r="F50" i="37"/>
  <c r="F49" i="37"/>
  <c r="L47" i="37"/>
  <c r="F47" i="37"/>
  <c r="F46" i="37"/>
  <c r="L40" i="37"/>
  <c r="F40" i="37"/>
  <c r="L37" i="37"/>
  <c r="F37" i="37"/>
  <c r="L36" i="37"/>
  <c r="F36" i="37"/>
  <c r="F30" i="37"/>
  <c r="G27" i="37"/>
  <c r="F21" i="37"/>
  <c r="F20" i="37"/>
  <c r="E20" i="37"/>
  <c r="E18" i="37"/>
  <c r="F17" i="37"/>
  <c r="E17" i="37"/>
  <c r="E16" i="37"/>
  <c r="F15" i="37"/>
  <c r="E15" i="37"/>
  <c r="E14" i="37"/>
  <c r="G10" i="37"/>
  <c r="L61" i="36"/>
  <c r="L59" i="36"/>
  <c r="L57" i="36"/>
  <c r="F57" i="36"/>
  <c r="L56" i="36"/>
  <c r="F55" i="36"/>
  <c r="L54" i="36"/>
  <c r="L53" i="36"/>
  <c r="F52" i="36"/>
  <c r="F50" i="36"/>
  <c r="F49" i="36"/>
  <c r="L47" i="36"/>
  <c r="F47" i="36"/>
  <c r="F46" i="36"/>
  <c r="L40" i="36"/>
  <c r="F40" i="36"/>
  <c r="L37" i="36"/>
  <c r="F37" i="36"/>
  <c r="L36" i="36"/>
  <c r="F36" i="36"/>
  <c r="F30" i="36"/>
  <c r="G27" i="36"/>
  <c r="F21" i="36"/>
  <c r="F20" i="36"/>
  <c r="E20" i="36"/>
  <c r="E18" i="36"/>
  <c r="F17" i="36"/>
  <c r="E17" i="36"/>
  <c r="E16" i="36"/>
  <c r="F15" i="36"/>
  <c r="E15" i="36"/>
  <c r="E14" i="36"/>
  <c r="G10" i="36"/>
  <c r="L61" i="35"/>
  <c r="L59" i="35"/>
  <c r="F58" i="35"/>
  <c r="L57" i="35"/>
  <c r="L56" i="35"/>
  <c r="F56" i="35"/>
  <c r="L54" i="35"/>
  <c r="L53" i="35"/>
  <c r="F53" i="35"/>
  <c r="F51" i="35"/>
  <c r="F50" i="35"/>
  <c r="F48" i="35"/>
  <c r="L47" i="35"/>
  <c r="F45" i="35"/>
  <c r="F41" i="35"/>
  <c r="L40" i="35"/>
  <c r="F38" i="35"/>
  <c r="L37" i="35"/>
  <c r="F37" i="35"/>
  <c r="L36" i="35"/>
  <c r="F31" i="35"/>
  <c r="E31" i="35"/>
  <c r="E29" i="35"/>
  <c r="G27" i="35"/>
  <c r="F21" i="35"/>
  <c r="F20" i="35"/>
  <c r="E20" i="35"/>
  <c r="E18" i="35"/>
  <c r="F17" i="35"/>
  <c r="E17" i="35"/>
  <c r="E16" i="35"/>
  <c r="F15" i="35"/>
  <c r="E15" i="35"/>
  <c r="E14" i="35"/>
  <c r="G10" i="35"/>
  <c r="F58" i="34"/>
  <c r="F56" i="34"/>
  <c r="F53" i="34"/>
  <c r="F51" i="34"/>
  <c r="F50" i="34"/>
  <c r="F45" i="34"/>
  <c r="F41" i="34"/>
  <c r="F38" i="34"/>
  <c r="F37" i="34"/>
  <c r="F31" i="34"/>
  <c r="E28" i="34"/>
  <c r="G27" i="34"/>
  <c r="F21" i="34"/>
  <c r="F20" i="34"/>
  <c r="E20" i="34"/>
  <c r="E18" i="34"/>
  <c r="F17" i="34"/>
  <c r="E17" i="34"/>
  <c r="E16" i="34"/>
  <c r="F15" i="34"/>
  <c r="E15" i="34"/>
  <c r="E14" i="34"/>
  <c r="G10" i="34"/>
  <c r="F63" i="33"/>
  <c r="F61" i="33"/>
  <c r="F58" i="33"/>
  <c r="F56" i="33"/>
  <c r="F55" i="33"/>
  <c r="F52" i="33"/>
  <c r="F41" i="33"/>
  <c r="F38" i="33"/>
  <c r="F37" i="33"/>
  <c r="F31" i="33"/>
  <c r="E28" i="33"/>
  <c r="G27" i="33"/>
  <c r="F21" i="33"/>
  <c r="F20" i="33"/>
  <c r="E20" i="33"/>
  <c r="E18" i="33"/>
  <c r="F17" i="33"/>
  <c r="E17" i="33"/>
  <c r="E16" i="33"/>
  <c r="F15" i="33"/>
  <c r="E15" i="33"/>
  <c r="E14" i="33"/>
  <c r="G10" i="33"/>
  <c r="F63" i="32"/>
  <c r="F61" i="32"/>
  <c r="F58" i="32"/>
  <c r="F56" i="32"/>
  <c r="F55" i="32"/>
  <c r="F52" i="32"/>
  <c r="F41" i="32"/>
  <c r="F39" i="32"/>
  <c r="F38" i="32"/>
  <c r="F37" i="32"/>
  <c r="F31" i="32"/>
  <c r="E31" i="32"/>
  <c r="G27" i="32"/>
  <c r="F21" i="32"/>
  <c r="F20" i="32"/>
  <c r="E20" i="32"/>
  <c r="E18" i="32"/>
  <c r="F17" i="32"/>
  <c r="E17" i="32"/>
  <c r="E16" i="32"/>
  <c r="F15" i="32"/>
  <c r="E15" i="32"/>
  <c r="E14" i="32"/>
  <c r="G10" i="32"/>
  <c r="F63" i="31"/>
  <c r="F61" i="31"/>
  <c r="F58" i="31"/>
  <c r="F56" i="31"/>
  <c r="F55" i="31"/>
  <c r="F52" i="31"/>
  <c r="F41" i="31"/>
  <c r="F39" i="31"/>
  <c r="F38" i="31"/>
  <c r="F37" i="31"/>
  <c r="F31" i="31"/>
  <c r="G27" i="31"/>
  <c r="E24" i="31"/>
  <c r="F21" i="31"/>
  <c r="F20" i="31"/>
  <c r="E20" i="31"/>
  <c r="E18" i="31"/>
  <c r="F17" i="31"/>
  <c r="E17" i="31"/>
  <c r="E16" i="31"/>
  <c r="F15" i="31"/>
  <c r="E15" i="31"/>
  <c r="E14" i="31"/>
  <c r="G10" i="31"/>
  <c r="F63" i="30"/>
  <c r="F61" i="30"/>
  <c r="F58" i="30"/>
  <c r="F56" i="30"/>
  <c r="F55" i="30"/>
  <c r="F52" i="30"/>
  <c r="F49" i="30"/>
  <c r="F41" i="30"/>
  <c r="F39" i="30"/>
  <c r="F38" i="30"/>
  <c r="F37" i="30"/>
  <c r="F31" i="30"/>
  <c r="G27" i="30"/>
  <c r="F21" i="30"/>
  <c r="F20" i="30"/>
  <c r="E20" i="30"/>
  <c r="E18" i="30"/>
  <c r="F17" i="30"/>
  <c r="E17" i="30"/>
  <c r="E16" i="30"/>
  <c r="F15" i="30"/>
  <c r="E15" i="30"/>
  <c r="E14" i="30"/>
  <c r="G10" i="30"/>
  <c r="F63" i="29"/>
  <c r="F61" i="29"/>
  <c r="F58" i="29"/>
  <c r="F56" i="29"/>
  <c r="F55" i="29"/>
  <c r="F49" i="29"/>
  <c r="F41" i="29"/>
  <c r="F39" i="29"/>
  <c r="F38" i="29"/>
  <c r="F37" i="29"/>
  <c r="F31" i="29"/>
  <c r="G27" i="29"/>
  <c r="E20" i="29"/>
  <c r="E18" i="29"/>
  <c r="F17" i="29"/>
  <c r="E17" i="29"/>
  <c r="E16" i="29"/>
  <c r="F15" i="29"/>
  <c r="E15" i="29"/>
  <c r="E14" i="29"/>
  <c r="G10" i="29"/>
  <c r="F59" i="28"/>
  <c r="F57" i="28"/>
  <c r="F54" i="28"/>
  <c r="F52" i="28"/>
  <c r="F51" i="28"/>
  <c r="F41" i="28"/>
  <c r="F39" i="28"/>
  <c r="F38" i="28"/>
  <c r="F37" i="28"/>
  <c r="F31" i="28"/>
  <c r="G27" i="28"/>
  <c r="E24" i="28"/>
  <c r="E20" i="28"/>
  <c r="E18" i="28"/>
  <c r="F17" i="28"/>
  <c r="E17" i="28"/>
  <c r="E16" i="28"/>
  <c r="F15" i="28"/>
  <c r="E15" i="28"/>
  <c r="E14" i="28"/>
  <c r="G10" i="28"/>
  <c r="F59" i="27"/>
  <c r="F57" i="27"/>
  <c r="F56" i="27"/>
  <c r="F54" i="27"/>
  <c r="F52" i="27"/>
  <c r="F51" i="27"/>
  <c r="F49" i="27"/>
  <c r="F48" i="27"/>
  <c r="F41" i="27"/>
  <c r="F39" i="27"/>
  <c r="F38" i="27"/>
  <c r="F37" i="27"/>
  <c r="F31" i="27"/>
  <c r="G27" i="27"/>
  <c r="E20" i="27"/>
  <c r="E18" i="27"/>
  <c r="F17" i="27"/>
  <c r="E17" i="27"/>
  <c r="E16" i="27"/>
  <c r="F15" i="27"/>
  <c r="E15" i="27"/>
  <c r="E14" i="27"/>
  <c r="G10" i="27"/>
  <c r="F59" i="26"/>
  <c r="F57" i="26"/>
  <c r="F56" i="26"/>
  <c r="F54" i="26"/>
  <c r="F52" i="26"/>
  <c r="F51" i="26"/>
  <c r="F49" i="26"/>
  <c r="F48" i="26"/>
  <c r="F41" i="26"/>
  <c r="F39" i="26"/>
  <c r="F38" i="26"/>
  <c r="F37" i="26"/>
  <c r="F31" i="26"/>
  <c r="G27" i="26"/>
  <c r="E20" i="26"/>
  <c r="E18" i="26"/>
  <c r="F17" i="26"/>
  <c r="E17" i="26"/>
  <c r="E16" i="26"/>
  <c r="F15" i="26"/>
  <c r="E15" i="26"/>
  <c r="E14" i="26"/>
  <c r="G10" i="26"/>
  <c r="F59" i="25"/>
  <c r="F57" i="25"/>
  <c r="F56" i="25"/>
  <c r="F54" i="25"/>
  <c r="F52" i="25"/>
  <c r="F51" i="25"/>
  <c r="F46" i="25"/>
  <c r="F41" i="25"/>
  <c r="F39" i="25"/>
  <c r="F38" i="25"/>
  <c r="F37" i="25"/>
  <c r="F31" i="25"/>
  <c r="E29" i="25"/>
  <c r="G27" i="25"/>
  <c r="E24" i="25"/>
  <c r="E20" i="25"/>
  <c r="E18" i="25"/>
  <c r="F17" i="25"/>
  <c r="E17" i="25"/>
  <c r="E16" i="25"/>
  <c r="F15" i="25"/>
  <c r="E15" i="25"/>
  <c r="E14" i="25"/>
  <c r="G10" i="25"/>
  <c r="F61" i="24"/>
  <c r="F59" i="24"/>
  <c r="F58" i="24"/>
  <c r="F56" i="24"/>
  <c r="F54" i="24"/>
  <c r="F53" i="24"/>
  <c r="F52" i="24"/>
  <c r="F50" i="24"/>
  <c r="F41" i="24"/>
  <c r="F39" i="24"/>
  <c r="F38" i="24"/>
  <c r="F37" i="24"/>
  <c r="F31" i="24"/>
  <c r="E31" i="24"/>
  <c r="G27" i="24"/>
  <c r="E20" i="24"/>
  <c r="E18" i="24"/>
  <c r="F17" i="24"/>
  <c r="E17" i="24"/>
  <c r="E16" i="24"/>
  <c r="F15" i="24"/>
  <c r="E15" i="24"/>
  <c r="E14" i="24"/>
  <c r="G10" i="24"/>
  <c r="F61" i="23"/>
  <c r="F59" i="23"/>
  <c r="F58" i="23"/>
  <c r="F57" i="23"/>
  <c r="F56" i="23"/>
  <c r="F54" i="23"/>
  <c r="F53" i="23"/>
  <c r="F52" i="23"/>
  <c r="F50" i="23"/>
  <c r="F41" i="23"/>
  <c r="F39" i="23"/>
  <c r="F38" i="23"/>
  <c r="F37" i="23"/>
  <c r="F31" i="23"/>
  <c r="G27" i="23"/>
  <c r="E20" i="23"/>
  <c r="E18" i="23"/>
  <c r="F17" i="23"/>
  <c r="E17" i="23"/>
  <c r="E16" i="23"/>
  <c r="F15" i="23"/>
  <c r="E15" i="23"/>
  <c r="E14" i="23"/>
  <c r="G10" i="23"/>
  <c r="F61" i="22"/>
  <c r="F59" i="22"/>
  <c r="F58" i="22"/>
  <c r="F57" i="22"/>
  <c r="F56" i="22"/>
  <c r="F54" i="22"/>
  <c r="F53" i="22"/>
  <c r="F52" i="22"/>
  <c r="F50" i="22"/>
  <c r="F41" i="22"/>
  <c r="F39" i="22"/>
  <c r="F38" i="22"/>
  <c r="F37" i="22"/>
  <c r="F31" i="22"/>
  <c r="G27" i="22"/>
  <c r="E20" i="22"/>
  <c r="E18" i="22"/>
  <c r="F17" i="22"/>
  <c r="E17" i="22"/>
  <c r="E16" i="22"/>
  <c r="F15" i="22"/>
  <c r="E15" i="22"/>
  <c r="E14" i="22"/>
  <c r="G10" i="22"/>
  <c r="F61" i="21"/>
  <c r="F59" i="21"/>
  <c r="F58" i="21"/>
  <c r="F57" i="21"/>
  <c r="F56" i="21"/>
  <c r="F54" i="21"/>
  <c r="F53" i="21"/>
  <c r="F52" i="21"/>
  <c r="F48" i="21"/>
  <c r="F41" i="21"/>
  <c r="F38" i="21"/>
  <c r="F37" i="21"/>
  <c r="F31" i="21"/>
  <c r="G27" i="21"/>
  <c r="M20" i="21"/>
  <c r="E20" i="21"/>
  <c r="E19" i="21"/>
  <c r="E18" i="21"/>
  <c r="F17" i="21"/>
  <c r="E17" i="21"/>
  <c r="E16" i="21"/>
  <c r="F15" i="21"/>
  <c r="E15" i="21"/>
  <c r="E14" i="21"/>
  <c r="G10" i="21"/>
  <c r="F61" i="20"/>
  <c r="F59" i="20"/>
  <c r="F58" i="20"/>
  <c r="F57" i="20"/>
  <c r="F56" i="20"/>
  <c r="F54" i="20"/>
  <c r="F53" i="20"/>
  <c r="F48" i="20"/>
  <c r="N45" i="20"/>
  <c r="O44" i="20"/>
  <c r="N44" i="20"/>
  <c r="M44" i="20"/>
  <c r="F41" i="20"/>
  <c r="F38" i="20"/>
  <c r="F37" i="20"/>
  <c r="N33" i="20"/>
  <c r="M33" i="20"/>
  <c r="O31" i="20"/>
  <c r="M31" i="20"/>
  <c r="F31" i="20"/>
  <c r="G27" i="20"/>
  <c r="R26" i="20"/>
  <c r="Q26" i="20"/>
  <c r="P26" i="20"/>
  <c r="O26" i="20"/>
  <c r="N26" i="20"/>
  <c r="M26" i="20"/>
  <c r="E20" i="20"/>
  <c r="E18" i="20"/>
  <c r="F17" i="20"/>
  <c r="E17" i="20"/>
  <c r="E16" i="20"/>
  <c r="F15" i="20"/>
  <c r="E15" i="20"/>
  <c r="E14" i="20"/>
  <c r="G10" i="20"/>
  <c r="F59" i="19"/>
  <c r="F57" i="19"/>
  <c r="F56" i="19"/>
  <c r="F55" i="19"/>
  <c r="F54" i="19"/>
  <c r="F52" i="19"/>
  <c r="F51" i="19"/>
  <c r="F41" i="19"/>
  <c r="F38" i="19"/>
  <c r="F37" i="19"/>
  <c r="F31" i="19"/>
  <c r="G27" i="19"/>
  <c r="E20" i="19"/>
  <c r="E18" i="19"/>
  <c r="F17" i="19"/>
  <c r="E17" i="19"/>
  <c r="E16" i="19"/>
  <c r="F15" i="19"/>
  <c r="E15" i="19"/>
  <c r="E14" i="19"/>
  <c r="G10" i="19"/>
  <c r="F59" i="18"/>
  <c r="F57" i="18"/>
  <c r="F56" i="18"/>
  <c r="F55" i="18"/>
  <c r="F54" i="18"/>
  <c r="F52" i="18"/>
  <c r="F51" i="18"/>
  <c r="F41" i="18"/>
  <c r="F38" i="18"/>
  <c r="F37" i="18"/>
  <c r="F31" i="18"/>
  <c r="G27" i="18"/>
  <c r="E20" i="18"/>
  <c r="E18" i="18"/>
  <c r="F17" i="18"/>
  <c r="E17" i="18"/>
  <c r="E16" i="18"/>
  <c r="F15" i="18"/>
  <c r="E15" i="18"/>
  <c r="E14" i="18"/>
  <c r="G10" i="18"/>
  <c r="F59" i="17"/>
  <c r="F57" i="17"/>
  <c r="F56" i="17"/>
  <c r="F55" i="17"/>
  <c r="F54" i="17"/>
  <c r="F52" i="17"/>
  <c r="F51" i="17"/>
  <c r="F41" i="17"/>
  <c r="F38" i="17"/>
  <c r="F37" i="17"/>
  <c r="F31" i="17"/>
  <c r="G27" i="17"/>
  <c r="E20" i="17"/>
  <c r="E18" i="17"/>
  <c r="F17" i="17"/>
  <c r="E17" i="17"/>
  <c r="E16" i="17"/>
  <c r="F15" i="17"/>
  <c r="E15" i="17"/>
  <c r="E14" i="17"/>
  <c r="G10" i="17"/>
  <c r="F61" i="16"/>
  <c r="F59" i="16"/>
  <c r="F58" i="16"/>
  <c r="F57" i="16"/>
  <c r="F56" i="16"/>
  <c r="F54" i="16"/>
  <c r="F53" i="16"/>
  <c r="F40" i="16"/>
  <c r="F37" i="16"/>
  <c r="F36" i="16"/>
  <c r="F31" i="16"/>
  <c r="G27" i="16"/>
  <c r="E24" i="16"/>
  <c r="E20" i="16"/>
  <c r="E18" i="16"/>
  <c r="F17" i="16"/>
  <c r="E17" i="16"/>
  <c r="E16" i="16"/>
  <c r="F15" i="16"/>
  <c r="E15" i="16"/>
  <c r="E14" i="16"/>
  <c r="G10" i="16"/>
  <c r="F61" i="15"/>
  <c r="F59" i="15"/>
  <c r="F58" i="15"/>
  <c r="F57" i="15"/>
  <c r="F56" i="15"/>
  <c r="F54" i="15"/>
  <c r="F53" i="15"/>
  <c r="F40" i="15"/>
  <c r="F37" i="15"/>
  <c r="F36" i="15"/>
  <c r="F31" i="15"/>
  <c r="G27" i="15"/>
  <c r="E27" i="15"/>
  <c r="E20" i="15"/>
  <c r="E18" i="15"/>
  <c r="F17" i="15"/>
  <c r="E17" i="15"/>
  <c r="E16" i="15"/>
  <c r="F15" i="15"/>
  <c r="E15" i="15"/>
  <c r="E14" i="15"/>
  <c r="G10" i="15"/>
  <c r="F61" i="14"/>
  <c r="F59" i="14"/>
  <c r="F56" i="14"/>
  <c r="F54" i="14"/>
  <c r="F53" i="14"/>
  <c r="F48" i="14"/>
  <c r="F40" i="14"/>
  <c r="F37" i="14"/>
  <c r="F36" i="14"/>
  <c r="F31" i="14"/>
  <c r="G27" i="14"/>
  <c r="E20" i="14"/>
  <c r="E18" i="14"/>
  <c r="F17" i="14"/>
  <c r="E17" i="14"/>
  <c r="E16" i="14"/>
  <c r="F15" i="14"/>
  <c r="E15" i="14"/>
  <c r="E14" i="14"/>
  <c r="G10" i="14"/>
  <c r="F61" i="12"/>
  <c r="F59" i="12"/>
  <c r="F56" i="12"/>
  <c r="F54" i="12"/>
  <c r="F53" i="12"/>
  <c r="F48" i="12"/>
  <c r="F40" i="12"/>
  <c r="F37" i="12"/>
  <c r="F36" i="12"/>
  <c r="F31" i="12"/>
  <c r="G27" i="12"/>
  <c r="E20" i="12"/>
  <c r="E18" i="12"/>
  <c r="F17" i="12"/>
  <c r="E17" i="12"/>
  <c r="E16" i="12"/>
  <c r="F15" i="12"/>
  <c r="E15" i="12"/>
  <c r="E14" i="12"/>
  <c r="G10" i="12"/>
  <c r="F61" i="11"/>
  <c r="F59" i="11"/>
  <c r="F56" i="11"/>
  <c r="F54" i="11"/>
  <c r="F53" i="11"/>
  <c r="F48" i="11"/>
  <c r="F40" i="11"/>
  <c r="F37" i="11"/>
  <c r="F36" i="11"/>
  <c r="F31" i="11"/>
  <c r="G27" i="11"/>
  <c r="E20" i="11"/>
  <c r="E18" i="11"/>
  <c r="F17" i="11"/>
  <c r="E17" i="11"/>
  <c r="E16" i="11"/>
  <c r="F15" i="11"/>
  <c r="E15" i="11"/>
  <c r="E14" i="11"/>
  <c r="G10" i="11"/>
  <c r="F60" i="10"/>
  <c r="F58" i="10"/>
  <c r="F55" i="10"/>
  <c r="F53" i="10"/>
  <c r="F52" i="10"/>
  <c r="F47" i="10"/>
  <c r="F45" i="10"/>
  <c r="F39" i="10"/>
  <c r="F36" i="10"/>
  <c r="F35" i="10"/>
  <c r="F31" i="10"/>
  <c r="G27" i="10"/>
  <c r="E20" i="10"/>
  <c r="E18" i="10"/>
  <c r="F17" i="10"/>
  <c r="E17" i="10"/>
  <c r="E16" i="10"/>
  <c r="F15" i="10"/>
  <c r="E15" i="10"/>
  <c r="E14" i="10"/>
  <c r="G10" i="10"/>
  <c r="F68" i="9"/>
  <c r="F66" i="9"/>
  <c r="F63" i="9"/>
  <c r="F61" i="9"/>
  <c r="F60" i="9"/>
  <c r="F59" i="9"/>
  <c r="F54" i="9"/>
  <c r="F47" i="9"/>
  <c r="F44" i="9"/>
  <c r="F43" i="9"/>
  <c r="F38" i="9"/>
  <c r="G27" i="9"/>
  <c r="E20" i="9"/>
  <c r="E18" i="9"/>
  <c r="F17" i="9"/>
  <c r="E17" i="9"/>
  <c r="E16" i="9"/>
  <c r="F15" i="9"/>
  <c r="E15" i="9"/>
  <c r="E14" i="9"/>
  <c r="G10" i="9"/>
  <c r="F62" i="8"/>
  <c r="F60" i="8"/>
  <c r="F57" i="8"/>
  <c r="F55" i="8"/>
  <c r="F54" i="8"/>
  <c r="F53" i="8"/>
  <c r="F48" i="8"/>
  <c r="F41" i="8"/>
  <c r="F38" i="8"/>
  <c r="F37" i="8"/>
  <c r="F32" i="8"/>
  <c r="G27" i="8"/>
  <c r="E20" i="8"/>
  <c r="E18" i="8"/>
  <c r="F17" i="8"/>
  <c r="E17" i="8"/>
  <c r="E16" i="8"/>
  <c r="F15" i="8"/>
  <c r="E15" i="8"/>
  <c r="E14" i="8"/>
  <c r="G10" i="8"/>
  <c r="F61" i="7"/>
  <c r="F59" i="7"/>
  <c r="F56" i="7"/>
  <c r="F54" i="7"/>
  <c r="F53" i="7"/>
  <c r="F40" i="7"/>
  <c r="F37" i="7"/>
  <c r="F36" i="7"/>
  <c r="F31" i="7"/>
  <c r="G27" i="7"/>
  <c r="E20" i="7"/>
  <c r="E18" i="7"/>
  <c r="F17" i="7"/>
  <c r="E17" i="7"/>
  <c r="E16" i="7"/>
  <c r="F15" i="7"/>
  <c r="E15" i="7"/>
  <c r="E14" i="7"/>
  <c r="G10" i="7"/>
  <c r="F61" i="6"/>
  <c r="F59" i="6"/>
  <c r="F56" i="6"/>
  <c r="F54" i="6"/>
  <c r="F53" i="6"/>
  <c r="F45" i="6"/>
  <c r="F40" i="6"/>
  <c r="F37" i="6"/>
  <c r="F36" i="6"/>
  <c r="F31" i="6"/>
  <c r="G29" i="6"/>
  <c r="E28" i="6"/>
  <c r="G27" i="6"/>
  <c r="E20" i="6"/>
  <c r="J19" i="6"/>
  <c r="E18" i="6"/>
  <c r="F17" i="6"/>
  <c r="E17" i="6"/>
  <c r="E16" i="6"/>
  <c r="F15" i="6"/>
  <c r="E15" i="6"/>
  <c r="E14" i="6"/>
  <c r="G10" i="6"/>
  <c r="F61" i="5"/>
  <c r="F59" i="5"/>
  <c r="F56" i="5"/>
  <c r="F54" i="5"/>
  <c r="F53" i="5"/>
  <c r="F52" i="5"/>
  <c r="F45" i="5"/>
  <c r="F40" i="5"/>
  <c r="F37" i="5"/>
  <c r="F36" i="5"/>
  <c r="F31" i="5"/>
  <c r="G27" i="5"/>
  <c r="E20" i="5"/>
  <c r="G18" i="5"/>
  <c r="E18" i="5"/>
  <c r="F17" i="5"/>
  <c r="E17" i="5"/>
  <c r="E16" i="5"/>
  <c r="F15" i="5"/>
  <c r="E15" i="5"/>
  <c r="E14" i="5"/>
  <c r="G10" i="5"/>
  <c r="F68" i="4"/>
  <c r="F66" i="4"/>
  <c r="F63" i="4"/>
  <c r="F61" i="4"/>
  <c r="F60" i="4"/>
  <c r="F59" i="4"/>
  <c r="F55" i="4"/>
  <c r="F48" i="4"/>
  <c r="F45" i="4"/>
  <c r="F44" i="4"/>
  <c r="F38" i="4"/>
  <c r="G27" i="4"/>
  <c r="E20" i="4"/>
  <c r="E19" i="4"/>
  <c r="E18" i="4"/>
  <c r="F17" i="4"/>
  <c r="E17" i="4"/>
  <c r="E16" i="4"/>
  <c r="F15" i="4"/>
  <c r="E15" i="4"/>
  <c r="E14" i="4"/>
  <c r="G10" i="4"/>
  <c r="F61" i="3"/>
  <c r="F59" i="3"/>
  <c r="F56" i="3"/>
  <c r="F54" i="3"/>
  <c r="F53" i="3"/>
  <c r="F52" i="3"/>
  <c r="F48" i="3"/>
  <c r="F41" i="3"/>
  <c r="F38" i="3"/>
  <c r="F37" i="3"/>
  <c r="F31" i="3"/>
  <c r="G27" i="3"/>
  <c r="E20" i="3"/>
  <c r="E19" i="3"/>
  <c r="E18" i="3"/>
  <c r="F17" i="3"/>
  <c r="E17" i="3"/>
  <c r="E16" i="3"/>
  <c r="F15" i="3"/>
  <c r="E15" i="3"/>
  <c r="E14" i="3"/>
  <c r="G10" i="3"/>
  <c r="F60" i="2"/>
  <c r="F58" i="2"/>
  <c r="F55" i="2"/>
  <c r="F53" i="2"/>
  <c r="F52" i="2"/>
  <c r="F51" i="2"/>
  <c r="F47" i="2"/>
  <c r="F40" i="2"/>
  <c r="F37" i="2"/>
  <c r="F36" i="2"/>
  <c r="F31" i="2"/>
  <c r="G27" i="2"/>
  <c r="E20" i="2"/>
  <c r="E18" i="2"/>
  <c r="F17" i="2"/>
  <c r="E17" i="2"/>
  <c r="E16" i="2"/>
  <c r="F15" i="2"/>
  <c r="E15" i="2"/>
  <c r="E14" i="2"/>
  <c r="G10" i="2"/>
  <c r="F60" i="1"/>
  <c r="F58" i="1"/>
  <c r="F55" i="1"/>
  <c r="F53" i="1"/>
  <c r="F52" i="1"/>
  <c r="F45" i="1"/>
  <c r="F40" i="1"/>
  <c r="F37" i="1"/>
  <c r="F36" i="1"/>
  <c r="F31" i="1"/>
  <c r="G27" i="1"/>
  <c r="E20" i="1"/>
  <c r="E18" i="1"/>
  <c r="F17" i="1"/>
  <c r="E17" i="1"/>
  <c r="E16" i="1"/>
  <c r="F15" i="1"/>
  <c r="E15" i="1"/>
  <c r="E14" i="1"/>
  <c r="G10" i="1"/>
  <c r="F37" i="95" l="1"/>
  <c r="F41" i="95" s="1"/>
  <c r="F51" i="95" s="1"/>
  <c r="F60" i="95" s="1"/>
  <c r="F23" i="93"/>
  <c r="F37" i="93"/>
  <c r="F41" i="93" s="1"/>
  <c r="F54" i="93" s="1"/>
  <c r="F63" i="93" s="1"/>
  <c r="F25" i="91"/>
  <c r="F39" i="91"/>
  <c r="F43" i="91" s="1"/>
  <c r="F55" i="91" s="1"/>
  <c r="F64" i="91" s="1"/>
  <c r="E14" i="90"/>
  <c r="F15" i="90"/>
  <c r="F17" i="90" s="1"/>
  <c r="F25" i="89"/>
  <c r="F38" i="90" l="1"/>
  <c r="F42" i="90" s="1"/>
  <c r="F54" i="90" s="1"/>
  <c r="F63" i="90" s="1"/>
  <c r="F24" i="9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3" authorId="0" shapeId="0" xr:uid="{FBFFE8F5-D886-43D1-B782-A75C6E3EF8E6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4" authorId="1" shapeId="0" xr:uid="{54E497CC-2930-4983-AD1C-883E1C995EC1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 xml:space="preserve">Pagos a terceros
</t>
        </r>
      </text>
    </comment>
    <comment ref="E25" authorId="1" shapeId="0" xr:uid="{DEEDE77C-6D89-42AF-A3A6-8D4C1F5035D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Nómina quinc y semanal</t>
        </r>
      </text>
    </comment>
    <comment ref="E26" authorId="0" shapeId="0" xr:uid="{78646608-7EC6-4921-8292-91762767E9B4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FINIQUITO PABLO
FINIQUITOS ANTOLIN</t>
        </r>
      </text>
    </comment>
    <comment ref="E28" authorId="1" shapeId="0" xr:uid="{22636450-3450-4AFB-B1DD-369BAD4CB50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FR Y SEM</t>
        </r>
      </text>
    </comment>
    <comment ref="E29" authorId="1" shapeId="0" xr:uid="{00100784-F56B-45DD-AA94-723ED33912A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0" authorId="1" shapeId="0" xr:uid="{B50070A9-E73A-4216-A874-7AC71B60A2C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BBVA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2" authorId="0" shapeId="0" xr:uid="{D7D90A99-9C26-4DC8-B878-7FFBB046EE27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3" authorId="1" shapeId="0" xr:uid="{2FCF0DA0-7380-4582-9D3E-CBF562DE02A6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>Nómina semanal 01</t>
        </r>
      </text>
    </comment>
    <comment ref="E24" authorId="1" shapeId="0" xr:uid="{DB60969B-F2DF-44F3-8583-3180375A290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5" authorId="0" shapeId="0" xr:uid="{0D244714-8E72-4EEE-904F-582BDAC0FBC5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FINIQUITO PABLO
FINIQUITOS ANTOLIN</t>
        </r>
      </text>
    </comment>
    <comment ref="E27" authorId="1" shapeId="0" xr:uid="{E9543A87-30F7-43C0-9563-629EDFC5047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FR Y SEM</t>
        </r>
      </text>
    </comment>
    <comment ref="E28" authorId="1" shapeId="0" xr:uid="{D72AE5F5-70A5-42C1-B979-B6C0A9FC621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29" authorId="1" shapeId="0" xr:uid="{4A813403-35D3-4604-9C85-9BDA7DFB02B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BBVA</t>
        </r>
      </text>
    </comment>
  </commentList>
</comments>
</file>

<file path=xl/comments10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61BAB146-68C6-46D9-8AFB-E523C958508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8" authorId="0" shapeId="0" xr:uid="{26C6C41E-690C-4E4C-B710-235A70CD913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30" authorId="0" shapeId="0" xr:uid="{811584AD-5DA7-4104-B1BC-7A578992669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4648B6F7-0CC4-4641-BBD8-7B68FCFB1AC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 y SOLEM BBVA</t>
        </r>
      </text>
    </comment>
  </commentList>
</comments>
</file>

<file path=xl/comments10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8F0882A6-CE1F-4585-82EA-11277849DEC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8" authorId="0" shapeId="0" xr:uid="{25A375F7-6B68-474E-A818-6EC9D2C9CC8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30" authorId="0" shapeId="0" xr:uid="{79293357-6743-44FA-BEC4-2C71788F88C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D8B921A4-F7FF-477B-8224-C7C932C91C5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 y SOLEM BBVA</t>
        </r>
      </text>
    </comment>
  </commentList>
</comments>
</file>

<file path=xl/comments10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B9EE218D-D889-40AF-A74B-474EC19E155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8" authorId="0" shapeId="0" xr:uid="{30CA7DBE-8A8F-4CC6-A444-F4B747BE8CC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30" authorId="0" shapeId="0" xr:uid="{412CB8F4-0A34-4B2B-98BC-FE0CFF5FAAD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5866DF04-8AD7-4823-8709-C348A3A8B71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 y SOLEM BBVA</t>
        </r>
      </text>
    </comment>
  </commentList>
</comments>
</file>

<file path=xl/comments10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F44A3394-BE2B-480F-9A62-98FCF2AD2BD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8" authorId="0" shapeId="0" xr:uid="{4C194A81-C20F-45AB-9B2D-AC13469BE28C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30" authorId="0" shapeId="0" xr:uid="{74CB3EB9-D9F9-4625-AD57-B77DEDDD32D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80227188-1B97-4526-B45D-796B553A249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 y SOLEM BBVA</t>
        </r>
      </text>
    </comment>
  </commentList>
</comments>
</file>

<file path=xl/comments10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5A0D8DB5-4043-4299-8586-370832C2288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8" authorId="0" shapeId="0" xr:uid="{F25E9CA9-9775-4E8D-8FC3-D65BA7C962C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30" authorId="0" shapeId="0" xr:uid="{3FD5B610-2E21-4CC9-ADDA-A5AC0B221B5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</commentList>
</comments>
</file>

<file path=xl/comments10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9E040D6E-08D0-4A17-9B11-5AE855432FD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8" authorId="0" shapeId="0" xr:uid="{979A992C-A304-4875-AA70-DCCA33B5CB6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30" authorId="0" shapeId="0" xr:uid="{977FBADF-3E42-4FF0-B545-66385158C6C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</commentList>
</comments>
</file>

<file path=xl/comments10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819D9F36-A6E5-44E4-A79B-8C6B3C1FBFB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8" authorId="0" shapeId="0" xr:uid="{7DBE63B1-3B65-4320-A25D-F89EAB76B68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30" authorId="0" shapeId="0" xr:uid="{81C85A4D-0DCC-4DE5-842E-C7348A66975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</commentList>
</comments>
</file>

<file path=xl/comments10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526498D4-3AB6-4945-80D6-F3CA7DFF72C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8" authorId="0" shapeId="0" xr:uid="{F8ECAF0B-D2D7-4B79-8E8D-010746790A2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30" authorId="0" shapeId="0" xr:uid="{29D2A638-F065-46A5-ADEA-5DACE877B31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</commentList>
</comments>
</file>

<file path=xl/comments10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F4C25771-E1FD-4BE8-87BC-0A19FEB7E4B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8" authorId="0" shapeId="0" xr:uid="{F7058459-8FAA-4925-B7F0-A25053572A8C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30" authorId="0" shapeId="0" xr:uid="{B78D1412-A7B0-4AD6-B45A-9CBFC09F924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</commentList>
</comments>
</file>

<file path=xl/comments10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AA657A85-D3C7-40AE-9810-003132295B4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8" authorId="0" shapeId="0" xr:uid="{ADB94979-FEFC-4DC3-AB79-0536C487297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30" authorId="0" shapeId="0" xr:uid="{E96A2828-0F03-4BEF-9B7C-E854B7FD877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3" authorId="0" shapeId="0" xr:uid="{E5191AB3-BB60-45B1-A1F6-A344BB12AE22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4" authorId="1" shapeId="0" xr:uid="{98AE6047-3BAB-44D3-9616-A1C97EA2AD65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>Nómina semanal 01</t>
        </r>
      </text>
    </comment>
    <comment ref="E25" authorId="1" shapeId="0" xr:uid="{C8785B5C-9E98-4803-AF82-84BFD9BC7B8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8" authorId="1" shapeId="0" xr:uid="{65B1B742-37F3-4C01-9667-CFBD023C342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FR Y SEM</t>
        </r>
      </text>
    </comment>
    <comment ref="E29" authorId="1" shapeId="0" xr:uid="{50D2BF91-0433-4489-8D38-E9282EF955D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0" authorId="1" shapeId="0" xr:uid="{78FE2749-E4D8-40C6-8425-2D15A15CE1C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BBVA</t>
        </r>
      </text>
    </comment>
  </commentList>
</comments>
</file>

<file path=xl/comments1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1A4978E9-CEC6-4D8E-919C-1EED34AD028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8" authorId="0" shapeId="0" xr:uid="{F795CD63-2850-4F54-B1BE-4643D253A48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30" authorId="0" shapeId="0" xr:uid="{4392D877-9E4A-4672-988B-9294B4DEF0F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</commentList>
</comments>
</file>

<file path=xl/comments1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0B27A2B9-AC0B-4A59-B4D0-36B514CBEF8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30" authorId="0" shapeId="0" xr:uid="{F93E2845-5DB4-4A50-A0D9-B3854FF1564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</commentList>
</comments>
</file>

<file path=xl/comments1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84452D83-66D5-467F-9D76-D4F689B66C2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30" authorId="0" shapeId="0" xr:uid="{9F3AD838-5306-4B83-AF31-1267CDB6475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In web
Calidad
Quality</t>
        </r>
      </text>
    </comment>
  </commentList>
</comments>
</file>

<file path=xl/comments1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ECF603C3-37F4-4DF1-80E2-B1CF2B8E886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30" authorId="0" shapeId="0" xr:uid="{0C0F12AB-804D-42F3-A0E2-6E4C5B3AB80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In web
Calidad
Quality</t>
        </r>
      </text>
    </comment>
  </commentList>
</comments>
</file>

<file path=xl/comments1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3" authorId="0" shapeId="0" xr:uid="{BB5460D2-0A65-4562-BC2C-4F6A5FE4373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8" authorId="0" shapeId="0" xr:uid="{973703E7-9B21-410B-852A-5A17D13019C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In web
Calidad
Quality</t>
        </r>
      </text>
    </comment>
  </commentList>
</comments>
</file>

<file path=xl/comments1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C6F84CE5-2BAE-44B4-BD7A-CF29536685D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9" authorId="0" shapeId="0" xr:uid="{212DB84C-7B7D-47AC-85EA-8A81B5AC1B6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In web
Calidad
Quality</t>
        </r>
      </text>
    </comment>
  </commentList>
</comments>
</file>

<file path=xl/comments1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3" authorId="0" shapeId="0" xr:uid="{676BBFBC-3F39-4215-880B-53C35BD8CAAC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8" authorId="0" shapeId="0" xr:uid="{AE51EE39-1C5D-405E-86DE-1EBB5304D66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In web
Calidad
Quality</t>
        </r>
      </text>
    </comment>
  </commentList>
</comments>
</file>

<file path=xl/comments1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  <author>Fabian Mendoza</author>
  </authors>
  <commentList>
    <comment ref="E23" authorId="0" shapeId="0" xr:uid="{7A4A5273-854A-41CF-805B-8EC3C07270D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6" authorId="1" shapeId="0" xr:uid="{87335E60-D802-4BC2-9967-77A2B6679204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CALIDAD</t>
        </r>
      </text>
    </comment>
    <comment ref="E28" authorId="0" shapeId="0" xr:uid="{D8F4D790-9DD6-42B6-AE97-FDDB4680E09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In web
Calidad
Quality</t>
        </r>
      </text>
    </comment>
  </commentList>
</comments>
</file>

<file path=xl/comments1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  <author>Fabian Mendoza</author>
  </authors>
  <commentList>
    <comment ref="E23" authorId="0" shapeId="0" xr:uid="{6AB1F6AD-3A8D-44CB-8135-9C415CE5E94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6" authorId="1" shapeId="0" xr:uid="{00611EFE-F519-4771-A738-F346A7539829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CALIDAD</t>
        </r>
      </text>
    </comment>
    <comment ref="E28" authorId="0" shapeId="0" xr:uid="{1DDF3F69-F86F-4565-91DB-28FCF19E184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In web
Calidad
Quality</t>
        </r>
      </text>
    </comment>
  </commentList>
</comments>
</file>

<file path=xl/comments1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  <author>Fabian Mendoza</author>
  </authors>
  <commentList>
    <comment ref="E24" authorId="0" shapeId="0" xr:uid="{FB3A5456-D8EE-4455-AB88-07EEFDFE4C1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7" authorId="1" shapeId="0" xr:uid="{4DA90482-365A-4A28-9C48-D5197E833ED9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CALIDAD</t>
        </r>
      </text>
    </comment>
    <comment ref="E29" authorId="0" shapeId="0" xr:uid="{83493B94-73C1-43B7-82E3-5E8993FD128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In web
Calidad
Quality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3" authorId="0" shapeId="0" xr:uid="{DC45C8D7-4FB1-4818-8E49-63F7AB93B71C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4" authorId="1" shapeId="0" xr:uid="{66CB8696-6131-4272-AA1A-3D27186E14FB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>Nómina semanal 01</t>
        </r>
      </text>
    </comment>
    <comment ref="E25" authorId="1" shapeId="0" xr:uid="{2DCEC204-44F4-4E24-A1E6-0018A0AB2BF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8" authorId="1" shapeId="0" xr:uid="{BE33E0E1-6584-4CE2-B100-C6BAE517814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FR Y SEM</t>
        </r>
      </text>
    </comment>
    <comment ref="E29" authorId="1" shapeId="0" xr:uid="{8DF42CE4-C6A3-4CC1-9698-5973E8D3E50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0" authorId="1" shapeId="0" xr:uid="{4321B520-3AA8-4868-B5D2-E92F24F8DF9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BBVA</t>
        </r>
      </text>
    </comment>
  </commentList>
</comments>
</file>

<file path=xl/comments1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  <author>Fabian Mendoza</author>
  </authors>
  <commentList>
    <comment ref="E24" authorId="0" shapeId="0" xr:uid="{29BDFDF1-8551-4425-B070-0F1D68C29D9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7" authorId="1" shapeId="0" xr:uid="{94DE1B78-D8B1-4D2E-91D3-3E3EB424B973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CALIDAD</t>
        </r>
      </text>
    </comment>
    <comment ref="E29" authorId="0" shapeId="0" xr:uid="{CB5ED2B9-66ED-44AA-94F4-6118C30C1A6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In web
Calidad
Quality</t>
        </r>
      </text>
    </comment>
  </commentList>
</comments>
</file>

<file path=xl/comments1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312DE823-19DA-411C-A95A-B29DC937580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9" authorId="0" shapeId="0" xr:uid="{D31F147E-EDAF-44AA-9929-E5D0B6F0790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In web
Calidad
Quality</t>
        </r>
      </text>
    </comment>
  </commentList>
</comments>
</file>

<file path=xl/comments1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9CD11230-95DC-4442-A421-DC6CC265F0C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9" authorId="0" shapeId="0" xr:uid="{39C260D0-E25A-49E9-B9A4-FEACA938D41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In web
Calidad
Quality</t>
        </r>
      </text>
    </comment>
  </commentList>
</comments>
</file>

<file path=xl/comments1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96F3F037-72C8-411D-9A39-98EE642C8EC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9" authorId="0" shapeId="0" xr:uid="{652433D8-9C06-4F00-B435-CA7F5AF0872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In web
Calidad
Quality</t>
        </r>
      </text>
    </comment>
  </commentList>
</comments>
</file>

<file path=xl/comments1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  <author>Fabian Mendoza</author>
  </authors>
  <commentList>
    <comment ref="E24" authorId="0" shapeId="0" xr:uid="{AEFDEBE2-A41D-4559-89A2-63257F3D1C3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9" authorId="1" shapeId="0" xr:uid="{3B43D7D0-6F68-430F-8DD9-BB2A3C72CE0F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JGL
MEX Y CTP</t>
        </r>
      </text>
    </comment>
    <comment ref="E30" authorId="1" shapeId="0" xr:uid="{6D3F385A-665C-4399-9484-FCD6DEA8CCBD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CRÉDITOS BBVA</t>
        </r>
      </text>
    </comment>
  </commentList>
</comments>
</file>

<file path=xl/comments1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  <author>Fabian Mendoza</author>
  </authors>
  <commentList>
    <comment ref="E26" authorId="0" shapeId="0" xr:uid="{16E5E193-41CC-4EB5-898F-D61635E437F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REEMBOLSO HECTOR MEXBANKING</t>
        </r>
      </text>
    </comment>
    <comment ref="E30" authorId="1" shapeId="0" xr:uid="{00681EE8-5DB6-439C-B4D5-97D875B17B22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CRÉDITOS BBVA</t>
        </r>
      </text>
    </comment>
  </commentList>
</comments>
</file>

<file path=xl/comments1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  <author>Fabian Mendoza</author>
  </authors>
  <commentList>
    <comment ref="E27" authorId="0" shapeId="0" xr:uid="{2C3FC236-D0EC-495C-A217-71CE18B4511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REEMBOLSO HECTOR MEXBANKING</t>
        </r>
      </text>
    </comment>
    <comment ref="E31" authorId="1" shapeId="0" xr:uid="{149CFD5D-AF45-42AC-9B2A-3D72B4C016C2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CRÉDITOS BBVA</t>
        </r>
      </text>
    </comment>
  </commentList>
</comments>
</file>

<file path=xl/comments1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</authors>
  <commentList>
    <comment ref="E32" authorId="0" shapeId="0" xr:uid="{4A98D6C3-460D-4ABF-80A1-3CE0B927BD4C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CRÉDITOS BBVA</t>
        </r>
      </text>
    </comment>
  </commentList>
</comments>
</file>

<file path=xl/comments1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</authors>
  <commentList>
    <comment ref="E32" authorId="0" shapeId="0" xr:uid="{EE60CF4C-C27A-42AB-A2FA-4D89E8BBF26D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CRÉDITOS BBVA</t>
        </r>
      </text>
    </comment>
  </commentList>
</comments>
</file>

<file path=xl/comments1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</authors>
  <commentList>
    <comment ref="E32" authorId="0" shapeId="0" xr:uid="{AF6F3348-31D1-4FB3-A3C2-10233561A9EB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CRÉDITOS BBVA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3" authorId="0" shapeId="0" xr:uid="{B72924F8-9282-45E9-B8E7-E80396D7225B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4" authorId="1" shapeId="0" xr:uid="{C86ADCB6-9B91-42D4-9A8C-0EC44E52C2F3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 xml:space="preserve">Nómina semanal 03
</t>
        </r>
      </text>
    </comment>
    <comment ref="E25" authorId="1" shapeId="0" xr:uid="{50D03409-33D9-4304-BD9E-413FF8F50FA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8" authorId="1" shapeId="0" xr:uid="{BD27E001-23E9-436E-9582-758FCC289B3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FR Y SEM</t>
        </r>
      </text>
    </comment>
    <comment ref="E29" authorId="1" shapeId="0" xr:uid="{C1FA6A35-B5CB-47FE-AE93-AD7BCF467AF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0" authorId="1" shapeId="0" xr:uid="{259A75F1-23BA-410E-BBD3-1FECAE34C73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BBVA</t>
        </r>
      </text>
    </comment>
  </commentList>
</comments>
</file>

<file path=xl/comments1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</authors>
  <commentList>
    <comment ref="E32" authorId="0" shapeId="0" xr:uid="{CF9020E2-DFB3-4C35-B3F2-DE577A40E5A2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CRÉDITOS BBVA</t>
        </r>
      </text>
    </comment>
  </commentList>
</comments>
</file>

<file path=xl/comments1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</authors>
  <commentList>
    <comment ref="E32" authorId="0" shapeId="0" xr:uid="{EDF54ED3-D3E7-4DA2-A31F-3CE439C8AE53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CRÉDITOS BBVA</t>
        </r>
      </text>
    </comment>
  </commentList>
</comments>
</file>

<file path=xl/comments1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</authors>
  <commentList>
    <comment ref="E32" authorId="0" shapeId="0" xr:uid="{412D1B80-261E-4E2C-8CDA-5D3A109EEEFA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CRÉDITOS BBVA</t>
        </r>
      </text>
    </comment>
  </commentList>
</comments>
</file>

<file path=xl/comments1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</authors>
  <commentList>
    <comment ref="E32" authorId="0" shapeId="0" xr:uid="{2C1EADB3-F576-495E-BDAF-B665194B1475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CRÉDITOS BBVA</t>
        </r>
      </text>
    </comment>
  </commentList>
</comments>
</file>

<file path=xl/comments1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</authors>
  <commentList>
    <comment ref="E32" authorId="0" shapeId="0" xr:uid="{FA329D26-7BB3-4316-B84A-920ED11C0EA7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CRÉDITOS BBVA</t>
        </r>
      </text>
    </comment>
  </commentList>
</comments>
</file>

<file path=xl/comments1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</authors>
  <commentList>
    <comment ref="E32" authorId="0" shapeId="0" xr:uid="{EDB81EC5-BE62-4212-9F38-E43055ECF629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CRÉDITOS BBVA</t>
        </r>
      </text>
    </comment>
  </commentList>
</comments>
</file>

<file path=xl/comments1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32" authorId="0" shapeId="0" xr:uid="{76AECC34-4E69-44EF-B79B-1D27D0F815C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</commentList>
</comments>
</file>

<file path=xl/comments1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32" authorId="0" shapeId="0" xr:uid="{B1B16DAD-F988-42B8-8DDE-7F4E7928B68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</commentList>
</comments>
</file>

<file path=xl/comments1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32" authorId="0" shapeId="0" xr:uid="{0C08F362-3851-422F-9419-952108B4138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</commentList>
</comments>
</file>

<file path=xl/comments1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32" authorId="0" shapeId="0" xr:uid="{AE0AD50D-529A-4EF6-A256-4F40BA625A5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3" authorId="0" shapeId="0" xr:uid="{E6659CEE-CD19-4B9F-8CFC-1441E18EB5B9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4" authorId="1" shapeId="0" xr:uid="{F2ADDDAF-3853-4450-8276-B7F0C45B609C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 xml:space="preserve">Nómina semanal 03
</t>
        </r>
      </text>
    </comment>
    <comment ref="E25" authorId="1" shapeId="0" xr:uid="{B1F8DD0F-BDE2-4C22-969E-5ADF79BF6DD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8" authorId="1" shapeId="0" xr:uid="{01F3A0F7-DB22-433B-8D31-E040E217F5A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FR Y SEM</t>
        </r>
      </text>
    </comment>
    <comment ref="E29" authorId="1" shapeId="0" xr:uid="{5D5CF73E-3607-40B1-9230-A1D63BE8A29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0" authorId="1" shapeId="0" xr:uid="{54E73D38-4CB3-4FA9-91B7-05AF0784F61C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</t>
        </r>
      </text>
    </comment>
  </commentList>
</comments>
</file>

<file path=xl/comments1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32" authorId="0" shapeId="0" xr:uid="{2290A37B-08DB-4E02-BA70-0110EA68EFA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  <comment ref="F50" authorId="0" shapeId="0" xr:uid="{1D231AF7-0E24-4AA2-8A97-9E5F81F753E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
QUINC,
FR,
RENTA,
TELEVIVSA</t>
        </r>
      </text>
    </comment>
  </commentList>
</comments>
</file>

<file path=xl/comments1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32" authorId="0" shapeId="0" xr:uid="{70F77EF1-3B9D-44EC-A6DF-57AAFE2DA4C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  <comment ref="F50" authorId="0" shapeId="0" xr:uid="{1C54259D-02FC-489B-AB91-18DDD1AD991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
QUINC,
FR,
RENTA,
TELEVIVSA</t>
        </r>
      </text>
    </comment>
  </commentList>
</comments>
</file>

<file path=xl/comments1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32" authorId="0" shapeId="0" xr:uid="{8FBD9038-BDCA-477A-ABCE-87BDE241531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  <comment ref="F50" authorId="0" shapeId="0" xr:uid="{56177ED9-A4A8-4872-8B06-C33D8BE8A23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
QUINC,
FR,
RENTA,
TELEVIVSA</t>
        </r>
      </text>
    </comment>
  </commentList>
</comments>
</file>

<file path=xl/comments1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32" authorId="0" shapeId="0" xr:uid="{2F0FD9DA-8D59-4FD8-A324-D7C3D025960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  <comment ref="F50" authorId="0" shapeId="0" xr:uid="{4FBA325F-2907-4A27-AAC6-CF5ABA66778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
QUINC,
FR,
RENTA,
TELEVIVSA</t>
        </r>
      </text>
    </comment>
  </commentList>
</comments>
</file>

<file path=xl/comments1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32" authorId="0" shapeId="0" xr:uid="{31D3FECA-2B0B-4162-AF57-D9275341B53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  <comment ref="F50" authorId="0" shapeId="0" xr:uid="{E4C43031-E667-433C-BC63-A8AFB2F0220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 Y FR
QUINC,
RENTA,
TELEVIVSA</t>
        </r>
      </text>
    </comment>
  </commentList>
</comments>
</file>

<file path=xl/comments1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32" authorId="0" shapeId="0" xr:uid="{917300DE-E73A-462E-83A4-2F218824EBE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  <comment ref="F50" authorId="0" shapeId="0" xr:uid="{D2AA76E1-67BA-4398-853D-AE2EBE0CA0B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 Y FR
QUINC,
RENTA,
TELEVIVSA</t>
        </r>
      </text>
    </comment>
  </commentList>
</comments>
</file>

<file path=xl/comments1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32" authorId="0" shapeId="0" xr:uid="{2BEAFD19-5B02-4320-AD23-DFD2B371701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  <comment ref="F50" authorId="0" shapeId="0" xr:uid="{5CB00B05-1043-45A7-85FE-CB62E594C69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 Y FR
QUINC,
RENTA,
TELEVIVSA</t>
        </r>
      </text>
    </comment>
  </commentList>
</comments>
</file>

<file path=xl/comments1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32" authorId="0" shapeId="0" xr:uid="{2126DAA7-E111-444E-BDEF-902E2597929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  <comment ref="F50" authorId="0" shapeId="0" xr:uid="{D0143E33-28BA-418F-BBE6-8CC57A80B4D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 Y FR
QUINC,
RENTA,
TELEVIVSA</t>
        </r>
      </text>
    </comment>
  </commentList>
</comments>
</file>

<file path=xl/comments1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32" authorId="0" shapeId="0" xr:uid="{28C28D5E-808D-4875-BBE5-872D473F673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  <comment ref="F50" authorId="0" shapeId="0" xr:uid="{7A8AFFA4-3CD1-4A69-9E23-9497C73055B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 Y FR
QUINC,
RENTA,
TELEVIVSA</t>
        </r>
      </text>
    </comment>
  </commentList>
</comments>
</file>

<file path=xl/comments1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32" authorId="0" shapeId="0" xr:uid="{F4DA1728-3F9D-40E6-92A8-FC7CFB64ADB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  <comment ref="F51" authorId="0" shapeId="0" xr:uid="{55BF4E5E-BAB8-42BB-BECA-4C98982DEDD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 Y FR
QUINC,
TELEVISA
RENTA,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4" authorId="0" shapeId="0" xr:uid="{46F9F4FF-11DD-415B-A083-D35E7F66589C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5FD6424A-9486-4320-A6C1-332FC5278E43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 xml:space="preserve">Nómina semanal 03
</t>
        </r>
      </text>
    </comment>
    <comment ref="E26" authorId="1" shapeId="0" xr:uid="{E703180F-72C4-4BEE-9AEC-05C56DA62DD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9" authorId="1" shapeId="0" xr:uid="{FC63C77E-D931-4285-B596-C7AFC7E5089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FR Y SEM</t>
        </r>
      </text>
    </comment>
    <comment ref="E30" authorId="1" shapeId="0" xr:uid="{61CA75AD-41F7-4BDB-932F-2E3D89541ED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1" authorId="1" shapeId="0" xr:uid="{E4F811F6-8243-4DC7-A908-87011758B5C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</t>
        </r>
      </text>
    </comment>
  </commentList>
</comments>
</file>

<file path=xl/comments1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32" authorId="0" shapeId="0" xr:uid="{D29E65C4-1E88-4D0F-804A-7D366503F59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  <comment ref="F51" authorId="0" shapeId="0" xr:uid="{432562C3-08C5-43AA-AFE1-3705867EBCDC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 Y FR
QUINC,
TELEVISA
RENTA,
</t>
        </r>
      </text>
    </comment>
  </commentList>
</comments>
</file>

<file path=xl/comments1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32" authorId="0" shapeId="0" xr:uid="{3DC0817C-BEA9-4D49-A308-1BB2E664D65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  <comment ref="F51" authorId="0" shapeId="0" xr:uid="{E30AFAB6-8506-4DAD-8D4A-AF8AC6BEEF6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 Y FR
QUINC,
TELEVISA
RENTA,
</t>
        </r>
      </text>
    </comment>
  </commentList>
</comments>
</file>

<file path=xl/comments1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30" authorId="0" shapeId="0" xr:uid="{F8517CA1-9F52-4F49-A695-55852B7757B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FR 37
NS 37
NQ 17</t>
        </r>
      </text>
    </comment>
    <comment ref="E32" authorId="0" shapeId="0" xr:uid="{F6EFCF07-C4D6-4D29-AEC4-81BB838F4C4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  <comment ref="F51" authorId="0" shapeId="0" xr:uid="{11756816-78DF-469D-8489-CD36FDC45DC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 Y FR
QUINC,
TELEVISA
RENTA,
</t>
        </r>
      </text>
    </comment>
  </commentList>
</comments>
</file>

<file path=xl/comments1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30" authorId="0" shapeId="0" xr:uid="{AB2C86BC-3C67-4D83-87AF-D1D28598957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TELEVISA
FR 37
NS 37
NQ 17</t>
        </r>
      </text>
    </comment>
    <comment ref="E32" authorId="0" shapeId="0" xr:uid="{9BFCC234-DB5D-48E6-8F61-E1E0C0DD543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  <comment ref="F50" authorId="0" shapeId="0" xr:uid="{BC0E36F5-6610-4DE3-90AF-A8B404E3454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 Y FR
TELEVISA
RENTA,
QUINC,
</t>
        </r>
      </text>
    </comment>
  </commentList>
</comments>
</file>

<file path=xl/comments1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30" authorId="0" shapeId="0" xr:uid="{E0D8E1CB-1249-420F-BD13-C341AD35A12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TELEVISA
FR 37
NS 37
NQ 17</t>
        </r>
      </text>
    </comment>
    <comment ref="E32" authorId="0" shapeId="0" xr:uid="{4369B034-68B7-477F-9927-E3F52E56E05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  <comment ref="F50" authorId="0" shapeId="0" xr:uid="{A22E5461-EE4D-49C7-A66D-1413E8AFD71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 Y FR
TELEVISA
RENTA,
QUINC,
</t>
        </r>
      </text>
    </comment>
  </commentList>
</comments>
</file>

<file path=xl/comments1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8" authorId="0" shapeId="0" xr:uid="{88422B04-6EA1-4EF0-9B24-17A0F565D34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TELEVISA
FR 37
NS 37
NQ 17</t>
        </r>
      </text>
    </comment>
    <comment ref="E30" authorId="0" shapeId="0" xr:uid="{3945D53C-47E3-4351-A714-4DACA6AFFB8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  <comment ref="F49" authorId="0" shapeId="0" xr:uid="{2CE1A879-6790-4A41-B2BF-13995A9EF2EC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 Y FR
TELEVISA
RENTA,
QUINC,
</t>
        </r>
      </text>
    </comment>
  </commentList>
</comments>
</file>

<file path=xl/comments1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8" authorId="0" shapeId="0" xr:uid="{5878B679-5627-4CD9-97CF-58CE1C2BB03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TELEVISA
FR 37
NS 37
NQ 17</t>
        </r>
      </text>
    </comment>
    <comment ref="E30" authorId="0" shapeId="0" xr:uid="{80C573DA-599B-4489-909C-C6B1F81032B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  <comment ref="F49" authorId="0" shapeId="0" xr:uid="{145F040D-6264-4A22-97E4-BDBB50C1D9C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 Y FR
TELEVISA
RENTA,
QUINC,
</t>
        </r>
      </text>
    </comment>
  </commentList>
</comments>
</file>

<file path=xl/comments1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8" authorId="0" shapeId="0" xr:uid="{66D3674A-0E4B-4DA7-A8E0-198417587DD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TELEVISA
FR 37
NS 37
NQ 17</t>
        </r>
      </text>
    </comment>
    <comment ref="E30" authorId="0" shapeId="0" xr:uid="{501A5B5C-B384-4433-A8EE-F6B8FB4378CC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  <comment ref="F49" authorId="0" shapeId="0" xr:uid="{120B727C-3CAF-4ED5-AF66-2D0F1D4FFAA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 Y FR
TELEVISA
RENTA,
QUINC,
</t>
        </r>
      </text>
    </comment>
  </commentList>
</comments>
</file>

<file path=xl/comments1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9" authorId="0" shapeId="0" xr:uid="{DE15F3E2-065F-4945-8C00-39C68680D7D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TELEVISA
FR 39
NS 39
NQ 18
RENTA</t>
        </r>
      </text>
    </comment>
    <comment ref="E31" authorId="0" shapeId="0" xr:uid="{985C92E8-0149-43B1-B94C-B770AD90034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  <comment ref="F51" authorId="0" shapeId="0" xr:uid="{5842D9BA-0AE5-42CF-80AF-1A05DF91D1F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 Y FR
TELEVISA
RENTA,
QUINC,
</t>
        </r>
      </text>
    </comment>
  </commentList>
</comments>
</file>

<file path=xl/comments1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9" authorId="0" shapeId="0" xr:uid="{864127E7-A628-4EE4-AD62-9B89D7DB179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TELEVISA
FR 39
NS 39
NQ 18
RENTA</t>
        </r>
      </text>
    </comment>
    <comment ref="E31" authorId="0" shapeId="0" xr:uid="{7A34295F-FC91-48C0-BFD2-CFEA6C5E1B3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  <comment ref="F51" authorId="0" shapeId="0" xr:uid="{DFD28287-1281-48B6-B305-F0E54EA87D0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 Y FR
TELEVISA
RENTA,
QUINC,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4" authorId="0" shapeId="0" xr:uid="{37E2DAB3-3091-4FD9-A41F-E58604C54B08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6D0A569E-7E20-48B7-BDBE-B8060BD7B25C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 xml:space="preserve">Nómina semanal 03
</t>
        </r>
      </text>
    </comment>
    <comment ref="E26" authorId="1" shapeId="0" xr:uid="{6C22A31C-0692-43AF-BFCC-6F7CF315F2C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9" authorId="1" shapeId="0" xr:uid="{FBD68EE1-B745-4DC8-BAB7-38B804CD7F1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FR Y SEM</t>
        </r>
      </text>
    </comment>
    <comment ref="E30" authorId="1" shapeId="0" xr:uid="{1734F4C9-152E-4711-8EBE-62BD0617A86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1" authorId="1" shapeId="0" xr:uid="{1D78CE3F-7A1B-432A-9F8D-859F10389CD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</t>
        </r>
      </text>
    </comment>
  </commentList>
</comments>
</file>

<file path=xl/comments1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9" authorId="0" shapeId="0" xr:uid="{FFF9DEF0-C7B2-475F-A27C-6C16670ACFD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TELEVISA
NQ 18
RENTA
FR 39
NS 39
</t>
        </r>
      </text>
    </comment>
    <comment ref="E31" authorId="0" shapeId="0" xr:uid="{332AD590-6003-4A15-A238-55BA7E403B0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CREDITOS BANORTE Y QS</t>
        </r>
      </text>
    </comment>
    <comment ref="F48" authorId="0" shapeId="0" xr:uid="{DD5E8156-9846-4A0B-BD6C-088AFC3E8AA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 Y FR
TELEVISA
RENTA,
QUINC,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4" authorId="0" shapeId="0" xr:uid="{DA5F1616-4F9F-4B72-BB54-D68F4A2ECA2A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57DFD978-251D-4757-A8C6-ECA79AB7FE93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 xml:space="preserve">Nómina semanal 03
</t>
        </r>
      </text>
    </comment>
    <comment ref="E26" authorId="1" shapeId="0" xr:uid="{F15B7923-27CA-4A16-BB90-994C8E60561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9" authorId="1" shapeId="0" xr:uid="{5270FA33-2C2C-4846-8B19-61D23BBB648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FR Y SEM</t>
        </r>
      </text>
    </comment>
    <comment ref="E30" authorId="1" shapeId="0" xr:uid="{D1AB7185-D006-418A-9814-20F7DA7B762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1" authorId="1" shapeId="0" xr:uid="{E0B160B3-F17C-47A0-B854-89D8CA70FD2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4" authorId="0" shapeId="0" xr:uid="{7C4EE01C-AC38-495F-8767-7DE9F72C03F1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39005241-37F0-496F-9D10-CB0F7CC8F609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 xml:space="preserve">Nómina semanal 03
</t>
        </r>
      </text>
    </comment>
    <comment ref="E26" authorId="1" shapeId="0" xr:uid="{25A81A11-8049-47F5-8704-489E433A070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9" authorId="1" shapeId="0" xr:uid="{EDBDB006-3F03-4354-9B20-9DB2D107E96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QUINC 02</t>
        </r>
      </text>
    </comment>
    <comment ref="E30" authorId="1" shapeId="0" xr:uid="{985DCB82-B949-4C9F-BA1D-ED7323D3B6DC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1" authorId="1" shapeId="0" xr:uid="{FDD8DC31-D52B-42AB-AA4E-712313BAE6C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4" authorId="0" shapeId="0" xr:uid="{2CE5FC3D-37F8-45A7-9FE1-C393EF169993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36A9A8B0-C7CE-40DE-AB5D-3E564B4B5FCC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 xml:space="preserve">Nómina semanal 03
</t>
        </r>
      </text>
    </comment>
    <comment ref="E26" authorId="1" shapeId="0" xr:uid="{4F78C024-63CC-4F5C-8A49-CD340E8F0CD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9" authorId="1" shapeId="0" xr:uid="{7F62941A-905C-42B8-BB25-1BFFD4DFB1C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QUINC 02</t>
        </r>
      </text>
    </comment>
    <comment ref="E30" authorId="1" shapeId="0" xr:uid="{66D838A4-7EF5-4364-834B-E6BB5D320C0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1" authorId="1" shapeId="0" xr:uid="{17FB0F79-63D6-4A8D-AD71-B760392BB5BC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3" authorId="0" shapeId="0" xr:uid="{B1E09D75-26A7-4E6A-860A-591011375473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4" authorId="1" shapeId="0" xr:uid="{A93A0D5E-0824-428C-A80A-998358C1D99F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 xml:space="preserve">Pagos a terceros
</t>
        </r>
      </text>
    </comment>
    <comment ref="E25" authorId="1" shapeId="0" xr:uid="{D26DE78E-0CC6-4D3D-8B5E-CC416935444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Nómina quinc y semanal</t>
        </r>
      </text>
    </comment>
    <comment ref="E26" authorId="0" shapeId="0" xr:uid="{1A939A04-B7A6-4875-8027-47F2E949B907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FINIQUITO PABLO
FINIQUITOS ANTOLIN</t>
        </r>
      </text>
    </comment>
    <comment ref="E28" authorId="1" shapeId="0" xr:uid="{E2BF3E7F-A9D0-48BC-A3FF-1DACAD01AF6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FR Y SEM</t>
        </r>
      </text>
    </comment>
    <comment ref="E29" authorId="1" shapeId="0" xr:uid="{AA7DED88-BE2D-49BF-A21B-64C1BA885EC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0" authorId="1" shapeId="0" xr:uid="{6F7DB439-7D16-436E-874B-2D2EC430D37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BBVA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4" authorId="0" shapeId="0" xr:uid="{D714B077-BEAB-41DD-B46B-4741841E2D89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B31C5D4D-B792-4A3A-BB2B-A9C9F00FFACD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 xml:space="preserve">Nómina semanal 03
</t>
        </r>
      </text>
    </comment>
    <comment ref="E26" authorId="1" shapeId="0" xr:uid="{FFEAFF9B-1D27-42E1-947E-77856962690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9" authorId="1" shapeId="0" xr:uid="{95498BEE-0021-49E6-81CE-0F6C7198093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QUINC 02</t>
        </r>
      </text>
    </comment>
    <comment ref="E30" authorId="1" shapeId="0" xr:uid="{CB0BB753-A495-4328-A64C-CD794B04C47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1" authorId="1" shapeId="0" xr:uid="{746E411C-E328-4D8D-91EB-66302F2E826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4" authorId="0" shapeId="0" xr:uid="{5B830390-A434-403B-B87D-EED592B3C8B1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EEAF2B7D-0C6A-4D4F-A9A1-047B0CDEEDC1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 xml:space="preserve">Nómina semanal 03
</t>
        </r>
      </text>
    </comment>
    <comment ref="E26" authorId="1" shapeId="0" xr:uid="{CF511E48-8A83-4224-A9E1-D8046B7E07A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9" authorId="1" shapeId="0" xr:uid="{910D9646-593C-413D-8842-A0A65296BB7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QUINC 02</t>
        </r>
      </text>
    </comment>
    <comment ref="E30" authorId="1" shapeId="0" xr:uid="{088CC08E-B2DF-4F62-B61A-37DCBE078ED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1" authorId="1" shapeId="0" xr:uid="{79253763-F891-49B3-AD9D-C9FBAE14DD4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4" authorId="0" shapeId="0" xr:uid="{DE17BE0D-05C8-435F-A718-C6B05C4FEA15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7460C66C-28FC-415F-BC89-1E3D1D2E341D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 xml:space="preserve">Nómina semanal 03
</t>
        </r>
      </text>
    </comment>
    <comment ref="E26" authorId="1" shapeId="0" xr:uid="{42DAF99F-F11E-479C-96FF-9D94EEA2763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9" authorId="1" shapeId="0" xr:uid="{6DB1BFCC-6D13-45E5-9D7C-8446253AC40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QUINC 02</t>
        </r>
      </text>
    </comment>
    <comment ref="E30" authorId="1" shapeId="0" xr:uid="{91FA426C-87DD-4E49-9F66-27BF0F09E26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1" authorId="1" shapeId="0" xr:uid="{74C33D51-F929-4C03-99CA-09AEB8AAD7C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4" authorId="0" shapeId="0" xr:uid="{499A7298-5C2C-43BD-8760-BEFDB0C89C1C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EE109B5D-E8F8-4F72-9BE3-35A58AC2CFB2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 xml:space="preserve">Nómina semanal 03
</t>
        </r>
      </text>
    </comment>
    <comment ref="E26" authorId="1" shapeId="0" xr:uid="{043AD21D-156C-47C1-AA8B-9D8633563DF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9" authorId="1" shapeId="0" xr:uid="{476DB9E8-9395-464D-892D-16D639E052C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QUINC 02</t>
        </r>
      </text>
    </comment>
    <comment ref="E30" authorId="1" shapeId="0" xr:uid="{0916CC66-00E4-488F-8354-7637B7A6FE8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1" authorId="1" shapeId="0" xr:uid="{727D6C69-FAF5-4C56-B127-5EA60B22904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4" authorId="0" shapeId="0" xr:uid="{1FE1E073-4FB9-4663-B46C-89ACDD0C4BBA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A4CDA602-EED9-407A-9A79-2DE4C1BA14FE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 xml:space="preserve">Nómina semanal 03
</t>
        </r>
      </text>
    </comment>
    <comment ref="E26" authorId="1" shapeId="0" xr:uid="{0E4466EF-66DB-4FE2-A09A-E34091926B4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9" authorId="1" shapeId="0" xr:uid="{969D2231-6226-4AD9-9D6D-A27F581DCBE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 Y FR
</t>
        </r>
      </text>
    </comment>
    <comment ref="E30" authorId="1" shapeId="0" xr:uid="{AEAC4322-FB1F-44E0-A601-5611A6241B9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1" authorId="1" shapeId="0" xr:uid="{31D23074-D822-4C82-BE47-13A51962338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4" authorId="0" shapeId="0" xr:uid="{5305F82D-C241-4A07-8C1D-AE87877E4CCD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89A9284F-A3A1-4373-B5A9-E92674FE23F2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 xml:space="preserve">Nómina semanal 03
</t>
        </r>
      </text>
    </comment>
    <comment ref="E26" authorId="1" shapeId="0" xr:uid="{A0CAF428-55D8-4559-B853-49167C6C723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9" authorId="1" shapeId="0" xr:uid="{5CE85BBD-DB37-4B7C-96C6-098C7C47532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 Y FR
</t>
        </r>
      </text>
    </comment>
    <comment ref="E30" authorId="1" shapeId="0" xr:uid="{225A73AB-CB96-4FED-925F-12BB29A7587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1" authorId="1" shapeId="0" xr:uid="{D6EB3A19-7479-488D-852A-FFBCA9FB683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4" authorId="0" shapeId="0" xr:uid="{40E0EB02-FA60-4837-BA23-2902B142A058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6EB2CDE8-53EF-4AFF-A2D9-C624BF921096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>Nómina semanal 06</t>
        </r>
      </text>
    </comment>
    <comment ref="E26" authorId="1" shapeId="0" xr:uid="{582B4927-0B55-4469-80EB-DBD4450082F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9" authorId="1" shapeId="0" xr:uid="{E9C7DABB-9E3F-4E49-B99C-EF314C476EF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 Y FR
</t>
        </r>
      </text>
    </comment>
    <comment ref="E30" authorId="1" shapeId="0" xr:uid="{43658EE9-DA28-4AC7-9DCE-5CCB6F179CF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1" authorId="1" shapeId="0" xr:uid="{F872424E-13FF-4D66-B752-F58239B4EA8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4" authorId="0" shapeId="0" xr:uid="{9E56D699-48C9-4C6D-B7AC-A052AF55DA1C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60951645-83BD-4954-8AC1-C4A7E28251C0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>Nómina semanal 06</t>
        </r>
      </text>
    </comment>
    <comment ref="E26" authorId="1" shapeId="0" xr:uid="{AFB50167-1199-496B-B074-5E2B0CFB942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9" authorId="1" shapeId="0" xr:uid="{39906930-CED6-4B7F-BF33-A3CC53D3700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 Y FR
</t>
        </r>
      </text>
    </comment>
    <comment ref="E30" authorId="1" shapeId="0" xr:uid="{A2C06B76-995E-4EFE-9DD6-97330269E9C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1" authorId="1" shapeId="0" xr:uid="{49115841-797B-4E14-8169-579CCA1C1E3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4" authorId="0" shapeId="0" xr:uid="{D8C94D44-DB13-4274-990F-AF20AA8CF317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3EEDD76C-3AD9-49A6-8403-8BF9E65A0AB7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>Nómina semanal 06</t>
        </r>
      </text>
    </comment>
    <comment ref="E26" authorId="1" shapeId="0" xr:uid="{601132D8-2EB4-4940-AE5D-CC7AFF6EA70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9" authorId="1" shapeId="0" xr:uid="{A43567EA-1429-40CF-8DB2-F08E7CE3B23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 Y FR
</t>
        </r>
      </text>
    </comment>
    <comment ref="E30" authorId="1" shapeId="0" xr:uid="{44EF4794-5B4B-43E0-91BC-893F4B84A8B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1" authorId="1" shapeId="0" xr:uid="{D4471CE9-229A-410C-8F21-496150B22E3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4" authorId="0" shapeId="0" xr:uid="{0707A5FC-784B-4D5F-ACFF-027D7BBD7E47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F07098C9-318C-4A2B-AC0B-D9FEB0BABDF3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>Nómina catorcenal</t>
        </r>
      </text>
    </comment>
    <comment ref="E26" authorId="1" shapeId="0" xr:uid="{E889630C-00A3-4A3B-BE46-158806F461A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9" authorId="1" shapeId="0" xr:uid="{7F719CD7-E341-48DC-B301-5C81074A2CE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30" authorId="1" shapeId="0" xr:uid="{68C9CF2D-D93F-42D7-946E-3D1FCC39D16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1" authorId="1" shapeId="0" xr:uid="{513CC7C1-D4E8-46C2-A170-FEA374538BF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4" authorId="0" shapeId="0" xr:uid="{BB6436DE-682D-44D0-8A68-A8A1030CEEF1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DD2E4F86-5A23-4B0B-9AA4-66C70073164C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>Nómina semanal 01</t>
        </r>
      </text>
    </comment>
    <comment ref="E26" authorId="1" shapeId="0" xr:uid="{675C2760-26A4-4FB2-A974-764A4A4D1AB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7" authorId="0" shapeId="0" xr:uid="{3B74DCF3-DE64-482A-96D2-B73DA0839714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FINIQUITO PABLO
FINIQUITOS ANTOLIN</t>
        </r>
      </text>
    </comment>
    <comment ref="E29" authorId="1" shapeId="0" xr:uid="{7BDB2648-5516-4473-9CF2-BD4812877C7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FR Y SEM</t>
        </r>
      </text>
    </comment>
    <comment ref="E30" authorId="1" shapeId="0" xr:uid="{813F656B-82CD-4167-945B-CB45CD08A94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1" authorId="1" shapeId="0" xr:uid="{A3858DE2-7868-48B3-BF8F-58E9DAAD347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BBVA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4" authorId="0" shapeId="0" xr:uid="{89813460-4E56-4DA8-A4E1-83AA89DEAA6B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C3A819DF-1521-45A2-8BA0-86D89E56A37B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>Nómina catorcenal</t>
        </r>
      </text>
    </comment>
    <comment ref="E26" authorId="1" shapeId="0" xr:uid="{1FC45578-25BB-4C2E-B5AF-DA91D87A767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9" authorId="1" shapeId="0" xr:uid="{97CBBEAE-660E-4653-A6E1-1FA74715446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30" authorId="1" shapeId="0" xr:uid="{31B8604C-382E-4632-9A53-CDC78F6183A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1" authorId="1" shapeId="0" xr:uid="{C8EB3484-2F3D-4E47-B565-FE3A2C5F2CB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4" authorId="0" shapeId="0" xr:uid="{27515A59-5183-415C-8500-03681413F972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E8FEEC81-F64C-4E6D-8E52-7191E6212370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 xml:space="preserve">Nómina QNA 03
</t>
        </r>
      </text>
    </comment>
    <comment ref="E26" authorId="1" shapeId="0" xr:uid="{22BEB426-F9F5-4B6B-9213-2964C08D535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A QNA 03</t>
        </r>
      </text>
    </comment>
    <comment ref="E27" authorId="1" shapeId="0" xr:uid="{66DE9853-CCB0-49C9-82E7-8EB98528012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Nomina sem 07</t>
        </r>
      </text>
    </comment>
    <comment ref="E29" authorId="1" shapeId="0" xr:uid="{19E4DC01-9871-43F8-946E-04516155A35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30" authorId="1" shapeId="0" xr:uid="{899844BE-FB59-493C-9008-3817E684CE8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1" authorId="1" shapeId="0" xr:uid="{2F62AEDB-73C5-43F0-9C93-E498E6E94F3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4" authorId="0" shapeId="0" xr:uid="{75F93E7E-69CD-4716-B05B-B2B250981F7D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DDD00F57-3470-4094-8FF5-C8C332DDAF98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 xml:space="preserve">Nómina QNA 03
</t>
        </r>
      </text>
    </comment>
    <comment ref="E26" authorId="1" shapeId="0" xr:uid="{9E41EB82-0836-436E-8BB6-ADB1B147A1E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A QNA 03</t>
        </r>
      </text>
    </comment>
    <comment ref="E29" authorId="1" shapeId="0" xr:uid="{49AE7C2B-EAF2-475C-860C-9B253D864E7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30" authorId="1" shapeId="0" xr:uid="{2AE8B028-630A-4022-A38F-573C71B3F7B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1" authorId="1" shapeId="0" xr:uid="{930A3D00-26E7-46FD-861A-4709EA5540C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4" authorId="0" shapeId="0" xr:uid="{C729A47D-3BF1-4FA8-A2A6-47341A89ACD8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5DDA1575-F027-4A34-A3D8-96519753BB7C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 xml:space="preserve">Nómina QNA 03
</t>
        </r>
      </text>
    </comment>
    <comment ref="E26" authorId="1" shapeId="0" xr:uid="{7B2C02FB-6740-4D2D-B205-086E58F536C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A QNA 03</t>
        </r>
      </text>
    </comment>
    <comment ref="E29" authorId="1" shapeId="0" xr:uid="{D25925F2-2163-4384-BBC1-9E0244FC2AA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30" authorId="1" shapeId="0" xr:uid="{F58313A4-B8E2-4FDA-B61D-F5509A8B5C1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1" authorId="1" shapeId="0" xr:uid="{5BFF6128-D436-4666-AC7C-AFD1CE541EBC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  <comment ref="F47" authorId="1" shapeId="0" xr:uid="{E31A63CA-11A0-4817-BA32-F35750B32B6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Bajas Stellantis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4" authorId="0" shapeId="0" xr:uid="{E2D1878C-E3DF-43F7-A7E4-6E9AF4CE21C8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AEF282DA-0D02-437D-9045-678058E5E5A7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 xml:space="preserve">Nómina QNA 03
</t>
        </r>
      </text>
    </comment>
    <comment ref="E26" authorId="1" shapeId="0" xr:uid="{2174EEC5-7EB4-4161-B764-A9F6F439085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A QNA 03</t>
        </r>
      </text>
    </comment>
    <comment ref="E29" authorId="1" shapeId="0" xr:uid="{3BD6931D-C9B5-48FF-AC6E-71926F6847B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30" authorId="1" shapeId="0" xr:uid="{15D079FD-2F07-4D37-B645-9AF59DCBD80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1" authorId="1" shapeId="0" xr:uid="{84FDCF0A-0075-4166-9CFD-0AF528EA1EC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3" authorId="0" shapeId="0" xr:uid="{6ACF4BC3-2D8A-479C-B883-612D9DF858A5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4" authorId="1" shapeId="0" xr:uid="{680A4ECF-3450-47CF-82AF-16DDAE616C07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 xml:space="preserve">Nómina QNA 03
</t>
        </r>
      </text>
    </comment>
    <comment ref="E25" authorId="1" shapeId="0" xr:uid="{E164D957-08FE-4442-A780-22454DC04BC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A QNA 03</t>
        </r>
      </text>
    </comment>
    <comment ref="E28" authorId="1" shapeId="0" xr:uid="{A8EE8BC2-6E2E-42E4-B976-3CC20AAA1B9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29" authorId="1" shapeId="0" xr:uid="{FB1832C2-074F-4F99-8577-8C046440CA3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0" authorId="1" shapeId="0" xr:uid="{4BE40ED2-E90D-4A0A-BF1D-B928834C5C2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3" authorId="0" shapeId="0" xr:uid="{F400639C-8F30-4813-83EE-99F94298550F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4" authorId="1" shapeId="0" xr:uid="{76414A31-423D-4DAD-9892-576009CF15EE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 xml:space="preserve">Nómina QNA 03
</t>
        </r>
      </text>
    </comment>
    <comment ref="E25" authorId="1" shapeId="0" xr:uid="{312F2E85-B492-4C71-8391-7BFECBA6506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A QNA 03</t>
        </r>
      </text>
    </comment>
    <comment ref="E28" authorId="1" shapeId="0" xr:uid="{CB3624C1-F9ED-4C40-9CCB-9364CD4F35D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29" authorId="1" shapeId="0" xr:uid="{92BA88FE-9914-48E1-9F0A-E4BA5B418D5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0" authorId="1" shapeId="0" xr:uid="{93084917-9D5F-481C-956C-91DF5EC4694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4" authorId="0" shapeId="0" xr:uid="{C8F532BB-803F-4769-BF77-C126FF810AD0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5B175B69-D097-4C19-BAF7-B6F7EAA96BF0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 xml:space="preserve">Nómina QNA 03
</t>
        </r>
      </text>
    </comment>
    <comment ref="E26" authorId="1" shapeId="0" xr:uid="{CB2C5328-532E-4BFD-B73A-F7EB2984E1D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A QNA 03</t>
        </r>
      </text>
    </comment>
    <comment ref="E29" authorId="1" shapeId="0" xr:uid="{02A951C2-4642-4832-8F48-6DC50BE6BA5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30" authorId="1" shapeId="0" xr:uid="{92F0A3E9-665F-4C34-838A-CEEEB9CF176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1" authorId="1" shapeId="0" xr:uid="{6557773C-251F-46C3-9939-FEE579406EC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2" authorId="0" shapeId="0" xr:uid="{C2C83EB5-1071-49E7-BA20-7EE7C2F1F6EC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3" authorId="1" shapeId="0" xr:uid="{DA5DB85D-AC73-48FB-96E3-753CF4302283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 xml:space="preserve">Nómina QNA 03
</t>
        </r>
      </text>
    </comment>
    <comment ref="E24" authorId="1" shapeId="0" xr:uid="{C9ECE372-DAC1-4282-B022-A6886ABB5DE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A QNA 03</t>
        </r>
      </text>
    </comment>
    <comment ref="E27" authorId="1" shapeId="0" xr:uid="{98940E96-D6A2-4F34-963A-EE52A2CB1EC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28" authorId="1" shapeId="0" xr:uid="{B128E7BB-3528-4F1F-9488-F1B41CCABF3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29" authorId="1" shapeId="0" xr:uid="{0DD58D9C-8D84-4879-A755-2610A029E4B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3" authorId="0" shapeId="0" xr:uid="{699E27C4-6982-4D1E-99F9-EFEDFD0CF41C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4" authorId="1" shapeId="0" xr:uid="{5D429173-F0E1-4287-8D93-2BE934EF84E3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>Nómina catorcenal</t>
        </r>
      </text>
    </comment>
    <comment ref="E25" authorId="1" shapeId="0" xr:uid="{65807CDA-04C1-4081-AEBE-5A904F0222E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A QNA 03</t>
        </r>
      </text>
    </comment>
    <comment ref="E28" authorId="1" shapeId="0" xr:uid="{E5C830BF-883C-45F3-B0AE-872A4FB6479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29" authorId="1" shapeId="0" xr:uid="{60740A43-0854-4AFD-8396-7CA62151A5B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0" authorId="1" shapeId="0" xr:uid="{6CB7822D-6B9C-42EC-B6D3-A1FE0F81C98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31" authorId="0" shapeId="0" xr:uid="{312C4FF1-5992-4162-BCB9-1984A8F17ADD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32" authorId="1" shapeId="0" xr:uid="{C58A07A7-1429-432D-91FD-8DB6A6794F80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>Nómina semanal 01</t>
        </r>
      </text>
    </comment>
    <comment ref="E33" authorId="1" shapeId="0" xr:uid="{3D3C25D3-AFF7-4E84-BE4B-3FC746F891D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34" authorId="0" shapeId="0" xr:uid="{A3C3EE8A-A23C-4A73-8AD9-2A6B9EB9AC9F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FINIQUITO PABLO
FINIQUITOS ANTOLIN</t>
        </r>
      </text>
    </comment>
    <comment ref="E36" authorId="1" shapeId="0" xr:uid="{5EEF5D9E-387D-47DD-B043-EF9E466D4B0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FR Y SEM</t>
        </r>
      </text>
    </comment>
    <comment ref="E37" authorId="1" shapeId="0" xr:uid="{0ACA68D1-1DB1-4E0D-BA09-EE9412D85C0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8" authorId="1" shapeId="0" xr:uid="{CD2395E2-3B89-49C5-BC52-338DBB46C03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BBVA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3" authorId="0" shapeId="0" xr:uid="{BDF7915C-2A58-4A91-A05B-1BF02CD9F528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4" authorId="1" shapeId="0" xr:uid="{13D9B256-11E4-4ABD-96DC-028339A7AB97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>Nómina catorcenal</t>
        </r>
      </text>
    </comment>
    <comment ref="E25" authorId="1" shapeId="0" xr:uid="{FF62FF70-5E5B-460F-A40B-972A8CEB327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A QNA 03</t>
        </r>
      </text>
    </comment>
    <comment ref="E28" authorId="1" shapeId="0" xr:uid="{735FD480-8A2E-4D46-9885-A21EB09D6CC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29" authorId="1" shapeId="0" xr:uid="{B25B88E9-6071-497A-AAB9-E829887CC6F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0" authorId="1" shapeId="0" xr:uid="{2CEC2FD3-4E91-4853-A5BB-48F41DF37F2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3" authorId="0" shapeId="0" xr:uid="{1EFEF025-E60D-4753-B36D-8F56AC4B8AF7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4" authorId="1" shapeId="0" xr:uid="{06BAE345-9CB5-4668-AB02-CB0E5DAD3DCF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>Nómina catorcenal</t>
        </r>
      </text>
    </comment>
    <comment ref="E25" authorId="1" shapeId="0" xr:uid="{D135AD54-84BC-4BC0-AAC4-713796D1381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A QNA 03</t>
        </r>
      </text>
    </comment>
    <comment ref="E28" authorId="1" shapeId="0" xr:uid="{0AE817EB-ECC9-40EA-BD39-E16B64919EB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29" authorId="1" shapeId="0" xr:uid="{5ED1443B-D553-4212-B2AB-86D8AF5B021C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0" authorId="1" shapeId="0" xr:uid="{07F2697D-AAED-46FC-8427-92A30F0DEC2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8" authorId="0" shapeId="0" xr:uid="{DD8F1E1E-3FDE-474E-A713-6D7D287A00B7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30" authorId="1" shapeId="0" xr:uid="{48E108A0-B1E5-4C72-BE74-7056DDCC5AA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A QNA 03</t>
        </r>
      </text>
    </comment>
    <comment ref="E33" authorId="1" shapeId="0" xr:uid="{F54E82F9-C721-4E64-AE73-76FE77C769D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34" authorId="1" shapeId="0" xr:uid="{C369FD87-DCC1-4A34-8F23-87328207576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5" authorId="1" shapeId="0" xr:uid="{A05F0999-3916-4F2B-B6DA-87377256E58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3" authorId="0" shapeId="0" xr:uid="{2FAC5F78-2BC1-4301-BCCD-9FB9DED003FF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FED98938-6B7E-4233-B4AC-B4D2FD51883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A QNA 03</t>
        </r>
      </text>
    </comment>
    <comment ref="E28" authorId="1" shapeId="0" xr:uid="{0E7936A1-6556-4377-8854-30914CACBBF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29" authorId="1" shapeId="0" xr:uid="{F5A86E03-9BF1-4A8E-B107-09AE44C4731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0" authorId="1" shapeId="0" xr:uid="{FE3D3641-88BB-4806-BF79-86A0FD57C46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3" authorId="0" shapeId="0" xr:uid="{08E8DC24-7C4A-4550-92C8-CFECFA4E6410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98194924-3DB8-4684-AA56-53F8F7AB135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A QNA 03</t>
        </r>
      </text>
    </comment>
    <comment ref="E28" authorId="1" shapeId="0" xr:uid="{61B74F6D-B9E1-41E4-998D-2F0304A0A65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29" authorId="1" shapeId="0" xr:uid="{726FD3A8-E86F-409B-B1C4-3EF062E3DEB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0" authorId="1" shapeId="0" xr:uid="{B94E2789-1667-4213-A44E-BB330A9D499C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6" authorId="0" shapeId="0" xr:uid="{9C27753E-079C-4BF6-912B-B32062214A0E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8" authorId="1" shapeId="0" xr:uid="{70529E58-8ECE-4CE7-9EBA-9FFCCBBD2B5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A QNA 03</t>
        </r>
      </text>
    </comment>
    <comment ref="E31" authorId="1" shapeId="0" xr:uid="{AE6AD756-7F30-4496-866D-89BADF65137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32" authorId="1" shapeId="0" xr:uid="{D474A596-5CCF-4F61-85B7-3071B37BCBA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3" authorId="1" shapeId="0" xr:uid="{6358611D-9443-41B5-8369-325E7EB406D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C19AB304-985E-416B-851B-D1D10E098D4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6" authorId="0" shapeId="0" xr:uid="{4E0E8679-EDC0-4D64-89C9-EDF967AA6E4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A QNA 03</t>
        </r>
      </text>
    </comment>
    <comment ref="E29" authorId="0" shapeId="0" xr:uid="{F99FA19E-3105-4614-AD5D-E1EFB2F9C2F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30" authorId="0" shapeId="0" xr:uid="{83E2977E-C096-4E4F-8A66-03383F89F80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A3B3E6A8-2111-4346-872D-F49E93D0D2B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8" authorId="0" shapeId="0" xr:uid="{3CF91BA6-D956-495B-9CC8-26FBDC93EB4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30" authorId="0" shapeId="0" xr:uid="{EA06B11E-F021-412F-A6F4-121561CDA6C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A QNA 03</t>
        </r>
      </text>
    </comment>
    <comment ref="E33" authorId="0" shapeId="0" xr:uid="{43FE82C9-AA9E-4E3C-ADD2-BD5D0C3268C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34" authorId="0" shapeId="0" xr:uid="{1455D1D1-7E11-4599-8A05-B478D490649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5" authorId="0" shapeId="0" xr:uid="{99CD2277-6FFE-4A25-9253-6F7464D3712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68B27A23-A1AD-4BD6-902B-8EA27C6EBD6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9" authorId="0" shapeId="0" xr:uid="{298BB5DA-6FBA-484D-8092-3AF19E50072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30" authorId="0" shapeId="0" xr:uid="{5FB30646-01B5-4A09-9532-E03302522ED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4EDD648C-B2E5-432F-8F26-A8869A7BEA0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B75ABAE6-DA4C-4DF1-AD99-CE3927E83DA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9" authorId="0" shapeId="0" xr:uid="{494E0B42-182E-4697-A87E-25985628412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30" authorId="0" shapeId="0" xr:uid="{3B9F7D89-C265-4663-9CA2-8E5ABDD61AB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CD85A459-65F6-432E-BBD3-C32207CA130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3" authorId="0" shapeId="0" xr:uid="{1B0348C9-2C2B-4BE4-AF27-FA0F36F0C522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4" authorId="1" shapeId="0" xr:uid="{CCE2629E-D9CA-4440-B93A-D79F25FF4AA0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>Nómina semanal 01</t>
        </r>
      </text>
    </comment>
    <comment ref="E25" authorId="1" shapeId="0" xr:uid="{9F5EA44B-06F1-4AB8-9924-42DE05935A2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6" authorId="0" shapeId="0" xr:uid="{F6B890BC-AD9D-4619-BBE6-A86C1B9B63BE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FINIQUITO PABLO
FINIQUITOS ANTOLIN</t>
        </r>
      </text>
    </comment>
    <comment ref="E28" authorId="1" shapeId="0" xr:uid="{F31C8C56-51FB-4DCF-B4EA-EEE7D330BBE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FR Y SEM</t>
        </r>
      </text>
    </comment>
    <comment ref="E29" authorId="1" shapeId="0" xr:uid="{257E7459-B81A-4D7D-81C5-36193F83A73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0" authorId="1" shapeId="0" xr:uid="{39E8DBA0-0A8E-405A-B4D6-6E6F2C748F9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BBVA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CC170E63-7F5F-4600-B346-F6B7559A6BA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9" authorId="0" shapeId="0" xr:uid="{49A7CDA7-1AC2-4A1E-A604-E3F89A01160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30" authorId="0" shapeId="0" xr:uid="{5E015795-EB2D-4E10-B4E4-93AD6199854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B77CDA3C-D003-404D-A675-9085C7C223D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748AECBF-F6A5-49F8-936E-A6A13EF4147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9" authorId="0" shapeId="0" xr:uid="{76035ABB-7915-40CC-B926-B50A09C1514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30" authorId="0" shapeId="0" xr:uid="{A5B5E168-0876-4ACB-AACA-419E09B4E62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1E6A69DF-6D38-4EC3-908F-CB5056BBE82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20A875FE-C0E0-4FCE-9D84-ED6018BA531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9" authorId="0" shapeId="0" xr:uid="{C5F9A42F-BB0E-4AAE-AD79-0FFBA7C3209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30" authorId="0" shapeId="0" xr:uid="{52959453-9C47-4467-8256-2452345ADB8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3460293F-5E43-4571-A2A8-4FE2DD7524D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29C5F1F3-A8E7-4BE8-9A7D-28CC290102D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9" authorId="0" shapeId="0" xr:uid="{58A7C21E-C22C-4A4B-98F0-511A388FDA3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30" authorId="0" shapeId="0" xr:uid="{C243735F-2AE2-439D-9195-80FEA528DF8C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9C3C5140-740F-476E-BA83-EB3378ED736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D05FA7A4-4A24-4FF5-878D-74F322CC934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9" authorId="0" shapeId="0" xr:uid="{D243682B-5A96-4A4A-BD39-0C61FC2C918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30" authorId="0" shapeId="0" xr:uid="{FF16715E-4833-4A6B-940E-4EB2F9E8BF9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AC0796E2-000E-47D1-A1F8-857F0A31621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C198A920-62D4-461D-9FC6-88096E42D9C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0" shapeId="0" xr:uid="{2E897659-5433-499A-B3B2-13596767397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IMPUESTO IN WEB</t>
        </r>
      </text>
    </comment>
    <comment ref="E28" authorId="0" shapeId="0" xr:uid="{58217990-F08F-4B5A-AD58-6DB9E376E49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29" authorId="0" shapeId="0" xr:uid="{4DBF60D5-4B4E-47B5-9D4E-E1609F49FB3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0" authorId="0" shapeId="0" xr:uid="{80D58E2E-FAA8-412C-84F7-EDC0611EE53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484F4A85-291B-4F3E-8886-1390FD64372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0" shapeId="0" xr:uid="{C2AEB17C-C7C3-4FD8-BA58-A013839A66F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IMPUESTO IN WEB</t>
        </r>
      </text>
    </comment>
    <comment ref="E28" authorId="0" shapeId="0" xr:uid="{2F719BD7-5EAF-4D14-88D4-9BE4B3C1E8E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29" authorId="0" shapeId="0" xr:uid="{48A2594D-663E-4AE1-9804-D55830C2901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0" authorId="0" shapeId="0" xr:uid="{2E9CF069-C80B-44B2-A925-B75FC7B5D6C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2A70DDB0-3D57-4E7C-8F7F-8606AFBD416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0" shapeId="0" xr:uid="{E2B18BE6-154D-4D85-BC93-83E5166019F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IMPUESTO IN WEB</t>
        </r>
      </text>
    </comment>
    <comment ref="E28" authorId="0" shapeId="0" xr:uid="{476D179D-F19B-408A-B8E1-F7DDF64977C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Sem, FR y quinc</t>
        </r>
      </text>
    </comment>
    <comment ref="E29" authorId="0" shapeId="0" xr:uid="{1DF3F486-00ED-4E73-AE7D-2A31368715F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0" authorId="0" shapeId="0" xr:uid="{712F955A-DECD-4F8F-A89B-F683BE1ACDE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3" authorId="0" shapeId="0" xr:uid="{10A343C0-EBA0-40AB-B850-CDDBF72EC0C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8" authorId="0" shapeId="0" xr:uid="{7E4BE980-3794-40A8-AFD4-426D11D9DA0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29" authorId="0" shapeId="0" xr:uid="{F809314A-3C45-47FD-87D4-3EA355FCD21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3" authorId="0" shapeId="0" xr:uid="{C622BE73-469D-41BE-8D31-1A2ED770E8F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8" authorId="0" shapeId="0" xr:uid="{30E23E78-6071-4E9A-99D4-1DD8FD886E2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29" authorId="0" shapeId="0" xr:uid="{ABC7044B-8C9C-4229-AE36-003456A87D6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3" authorId="0" shapeId="0" xr:uid="{9B09BE8B-4B0F-4C51-9078-453B2FDC459F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4" authorId="1" shapeId="0" xr:uid="{5543011E-5BC3-4CD3-AAF6-B23283E6E01A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>Nómina semanal 01</t>
        </r>
      </text>
    </comment>
    <comment ref="E25" authorId="1" shapeId="0" xr:uid="{9F379C6A-33B6-48F9-A15B-7037BCA37CF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6" authorId="0" shapeId="0" xr:uid="{C73F98F0-3CA4-45C6-AA27-F529788EC844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FINIQUITO PABLO
FINIQUITOS ANTOLIN</t>
        </r>
      </text>
    </comment>
    <comment ref="E28" authorId="1" shapeId="0" xr:uid="{B2650515-5D6A-45BA-B8BA-7EA09800067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FR Y SEM</t>
        </r>
      </text>
    </comment>
    <comment ref="E29" authorId="1" shapeId="0" xr:uid="{A9AADE73-FC40-48E7-A59D-451B702C9D6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0" authorId="1" shapeId="0" xr:uid="{C935BE2B-ADCA-492C-AFAC-869BE609FCD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BBVA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3" authorId="0" shapeId="0" xr:uid="{A183C686-176C-4DD8-A714-FDE76AFF8DC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8" authorId="0" shapeId="0" xr:uid="{DB76D6E0-0D4C-4EE7-88D8-FB272EC9DEA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29" authorId="0" shapeId="0" xr:uid="{678AB430-7270-426D-8C9D-C956E84A3B1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3" authorId="0" shapeId="0" xr:uid="{E20EFCC9-AAFC-467C-A810-8B00B1ADC75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4" authorId="0" shapeId="0" xr:uid="{6672824F-6CF5-4DE2-8C60-8EEB4A2BE4F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semanal detenida</t>
        </r>
      </text>
    </comment>
    <comment ref="E28" authorId="0" shapeId="0" xr:uid="{F1FF9B7E-606D-4E92-A0F6-2ACB168FD09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29" authorId="0" shapeId="0" xr:uid="{37D7C77E-AC0D-48C0-BCF3-A3476C35C34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3" authorId="0" shapeId="0" xr:uid="{0CBEA86D-08BB-4A70-9DE9-17AA903AD65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4" authorId="0" shapeId="0" xr:uid="{0E95EE89-6A97-4A93-B56C-5BB2CA1D87DC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semanal detenida</t>
        </r>
      </text>
    </comment>
    <comment ref="E28" authorId="0" shapeId="0" xr:uid="{BBC8387E-B7AE-4ADE-92B2-5BF7E8A43C1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29" authorId="0" shapeId="0" xr:uid="{CDD15316-E7F2-42F7-9F47-119110B1318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9F73C378-45F6-4BCE-B717-D01B47D74C5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0" shapeId="0" xr:uid="{92394664-298B-4D77-B451-445E5265726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29" authorId="0" shapeId="0" xr:uid="{511C7B24-608F-4054-89C8-757D2D23C3F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0" authorId="0" shapeId="0" xr:uid="{A46E5184-13C2-4A4E-9BEA-F8E6696144F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3C009C87-D959-45D6-9BE4-0CE49522704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0" shapeId="0" xr:uid="{AE628C9C-3245-4DB9-8452-94C7AB32835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29" authorId="0" shapeId="0" xr:uid="{A5F389A0-E513-496C-8FDB-A8F274D93A1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0" authorId="0" shapeId="0" xr:uid="{98B802C9-05D0-4226-9591-AE0073ABC0B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38C6C588-95EF-42BA-9D15-5D8CB1FF7AB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0" shapeId="0" xr:uid="{2C0E061E-AD22-4491-8AD5-76011426D06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29" authorId="0" shapeId="0" xr:uid="{A46F3369-9000-44FD-8B23-2D6980AF4DF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0" authorId="0" shapeId="0" xr:uid="{60E4F43B-2805-4411-BBCC-B8CB35FE748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A3AB869C-7032-4161-BA98-72FFEB4B233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0" shapeId="0" xr:uid="{53CE51D4-6EFD-464A-BD2C-5454AD49502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29" authorId="0" shapeId="0" xr:uid="{D117A6F5-1D96-48B1-BF7F-560405FD663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0" authorId="0" shapeId="0" xr:uid="{67131290-B331-43D2-9D84-00FA1A416DE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0204B429-ACED-4A0B-995C-648EBA83ACB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0" shapeId="0" xr:uid="{F29F785A-85A1-4AAD-BF0C-67FF32F54F8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29" authorId="0" shapeId="0" xr:uid="{9134001F-FDA3-46CB-A483-CE2B4B496AE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0" authorId="0" shapeId="0" xr:uid="{A6FDCB0B-8D30-44AA-948B-4724B25414E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875E6F7B-3920-4302-9882-551418F91F7C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0" shapeId="0" xr:uid="{13B30D1F-442D-49AA-9336-0A52F28DB28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29" authorId="0" shapeId="0" xr:uid="{6B52980B-AB6E-4604-8542-19570CF2D5D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0" authorId="0" shapeId="0" xr:uid="{DD39A325-9299-4566-8935-2AA5EB3A26B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E58E9CDC-1C3E-4334-A570-2E02B3759BC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0" shapeId="0" xr:uid="{EABE73E4-4FCB-44FD-B72B-B94FFB2A7FB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29" authorId="0" shapeId="0" xr:uid="{55A3B7D1-9F70-4CB9-86CF-9C985E5D761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0" authorId="0" shapeId="0" xr:uid="{F5B32F65-C29F-455B-B4CF-3571F197806C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3" authorId="0" shapeId="0" xr:uid="{D0EFEC11-5BE7-4BF6-B7BD-B07C50D4E4EC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4" authorId="1" shapeId="0" xr:uid="{49FD443F-0EFF-44F7-BF86-60A135D4C945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>Nómina semanal 01</t>
        </r>
      </text>
    </comment>
    <comment ref="E25" authorId="1" shapeId="0" xr:uid="{8072BA00-2A46-44EB-9501-4B27C144553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6" authorId="0" shapeId="0" xr:uid="{5CE0A117-88D6-4791-917F-5E0F6154B6A4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FINIQUITO PABLO
FINIQUITOS ANTOLIN</t>
        </r>
      </text>
    </comment>
    <comment ref="E28" authorId="1" shapeId="0" xr:uid="{CD620271-0C4F-48CF-A471-549B80D451C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FR Y SEM</t>
        </r>
      </text>
    </comment>
    <comment ref="E29" authorId="1" shapeId="0" xr:uid="{940A3E66-4C19-4D3D-AB4C-B7CFAA24626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0" authorId="1" shapeId="0" xr:uid="{DBC9171C-C53B-411E-9619-0E4ADE0E77F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BBVA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11618EB1-C4E8-43DB-8CAD-282CD8F00A6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0" shapeId="0" xr:uid="{D234E9CC-3092-4009-AFED-F53768FD259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29" authorId="0" shapeId="0" xr:uid="{FA923CBF-C675-4310-8751-D4256E8E9E8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0" authorId="0" shapeId="0" xr:uid="{49D93688-3244-4AD0-BBCC-8E5BB71289D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078DE6F3-4210-43EF-BE42-E401FCD436C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0" shapeId="0" xr:uid="{737E1F38-055D-49E9-BF75-AD0D6E89956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29" authorId="0" shapeId="0" xr:uid="{A4BF3624-F944-4C23-A5FD-B3B836F72E9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0" authorId="0" shapeId="0" xr:uid="{44A3BF73-E731-49C4-9B8B-B0F079E5280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6" authorId="0" shapeId="0" xr:uid="{A6B23B7D-B9C1-4FEC-841A-526D15A7CE2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7" authorId="0" shapeId="0" xr:uid="{419FE890-AE5D-47DC-A36D-F879201506E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31" authorId="0" shapeId="0" xr:uid="{15304E41-F358-4FD5-B680-FB626EDFFB0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2" authorId="0" shapeId="0" xr:uid="{8F9443DF-07B3-4105-9582-0102B52F21A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6" authorId="0" shapeId="0" xr:uid="{8CEC6B57-4D9B-4119-B6EF-5F4A196FB84C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7" authorId="0" shapeId="0" xr:uid="{4BD780E1-AEAD-4090-B506-0218DF17AA8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31" authorId="0" shapeId="0" xr:uid="{81153A07-D580-48A2-B0D3-08218AF5789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2" authorId="0" shapeId="0" xr:uid="{9FE40325-9F8C-4E6E-A32D-1B25698D9E0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95A2049F-6A3B-4D57-8252-7D566B01E34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6" authorId="0" shapeId="0" xr:uid="{30337C3B-9CA1-44C6-9307-C0B97AD32E0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30" authorId="0" shapeId="0" xr:uid="{AD7C4629-F9D6-4F6F-924E-E19FC669735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3EB4198F-FC93-44D2-A7C6-4333F3FF54A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D74B7F78-7708-458D-A779-D846846CCE2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6" authorId="0" shapeId="0" xr:uid="{A030E41B-A8E6-4A6C-B4CF-D44A6923434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30" authorId="0" shapeId="0" xr:uid="{E805A319-B731-4954-BB2E-4AC1A80F90E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D7BC74B2-1B0B-423D-9B3B-C0607AB3C70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DDCEE603-2421-4E9E-B8B8-99AC8BE14E3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6" authorId="0" shapeId="0" xr:uid="{FF7D787C-EDF0-45E5-9FF1-3357AF66170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30" authorId="0" shapeId="0" xr:uid="{6D9D43A9-2FA9-41AF-BD18-F3098573893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B0810B3B-CFB5-4182-8D3A-D6C5C516ABA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A86686A8-E086-46DB-8EE8-3B3A418CA49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6" authorId="0" shapeId="0" xr:uid="{5AA4E8AF-168C-4ABB-A87C-5149835D5D3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30" authorId="0" shapeId="0" xr:uid="{BE55C863-35FC-43F4-9516-ACEAFEA04D6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72260985-01B2-4A39-9B28-5DAD11E70CCC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externo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3D037A6B-4A9F-49B5-B699-5C0EDEA4A69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6" authorId="0" shapeId="0" xr:uid="{07DDEB20-0F75-4D81-9ED0-84DF7F01D44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30" authorId="0" shapeId="0" xr:uid="{BBF5BF0D-778D-44D1-A67A-0CBE0FF2C27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2C6D9068-ADB6-4DB2-AE46-896E7E0EF33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77A7277A-3CBF-4B0A-B09B-FEC347477E6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6" authorId="0" shapeId="0" xr:uid="{E5BED526-CFFF-4B13-818D-3F54687175A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30" authorId="0" shapeId="0" xr:uid="{B8386FF0-AAB0-4B36-98E8-E648731F6C1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92BBA911-73A3-44BA-960B-9EC7DAFDB83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24" authorId="0" shapeId="0" xr:uid="{92DDF1C4-730C-4A12-ADAF-2514E2969EC2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1" shapeId="0" xr:uid="{A15F6117-1AD3-49F3-A76B-371BD4F782FB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>Nómina semanal 01</t>
        </r>
      </text>
    </comment>
    <comment ref="E26" authorId="1" shapeId="0" xr:uid="{C325BC68-DB30-4B60-A5A5-656BB42C542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27" authorId="0" shapeId="0" xr:uid="{10971E1E-2F3A-42C7-BD93-BB20CE52F3DE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FINIQUITO PABLO
FINIQUITOS ANTOLIN</t>
        </r>
      </text>
    </comment>
    <comment ref="E29" authorId="1" shapeId="0" xr:uid="{08FC8091-7C44-43BD-A916-DF6FB36B3E5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FR Y SEM</t>
        </r>
      </text>
    </comment>
    <comment ref="E30" authorId="1" shapeId="0" xr:uid="{7B8E08FC-25F0-400D-A4AE-3E30DA14086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1" authorId="1" shapeId="0" xr:uid="{35065E3C-308C-4CAB-BA30-01E98E5EBDE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BBVA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5E6217B7-2669-4FDE-B20F-044199519A9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6" authorId="0" shapeId="0" xr:uid="{6859B93F-3C35-458F-A8D3-D26CFBC5152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30" authorId="0" shapeId="0" xr:uid="{437E5F3D-E65E-4F65-A2CE-713256F8FA1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061DE5F8-5849-40F4-A33D-619001C5063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25778D58-2770-488B-94F3-F2AEA5A8101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6" authorId="0" shapeId="0" xr:uid="{A78EC945-D7A4-4BFF-87D5-B1249C3BE02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30" authorId="0" shapeId="0" xr:uid="{BEE735A5-A614-4646-824D-5ED6BBFC285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E71D6E5E-BCE6-47B4-9868-3BBAAC1C7CB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8CAC2DAD-BB6F-4CAF-8DCA-1AED92D1A12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6" authorId="0" shapeId="0" xr:uid="{D3BD7360-3882-486F-BA70-957930F2D75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30" authorId="0" shapeId="0" xr:uid="{9AD925B3-69B6-46E2-9FD9-23C41DA30F5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808DAEB7-4056-4657-B502-CDA58BCA9F2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 y SOLEM BBVA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1EEE297F-656F-4926-A29C-898C1066186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6" authorId="0" shapeId="0" xr:uid="{F0B9E403-26E4-4F58-8FDD-D5196DFA902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30" authorId="0" shapeId="0" xr:uid="{EF88E4C9-EB7C-4983-8101-9F0F0C65FBC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8A14B84E-71F0-4B50-8BD1-5B920A41816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 y SOLEM BBVA</t>
        </r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1EC7CABF-03C7-42D6-ABAD-810E97EE1B0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6" authorId="0" shapeId="0" xr:uid="{6032586F-9F39-4AC0-8256-9C185B33BEC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30" authorId="0" shapeId="0" xr:uid="{CE63C541-54E3-4FF9-89D2-072D47A3279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480B299B-4856-4657-986B-45E53365781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 y SOLEM BBVA</t>
        </r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6" authorId="0" shapeId="0" xr:uid="{DDDC8388-E108-4866-AAA5-1E7849F556C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7" authorId="0" shapeId="0" xr:uid="{39605434-7285-4489-932F-2B0203E0D98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31" authorId="0" shapeId="0" xr:uid="{697AB178-B72D-4707-997A-9157813778F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2" authorId="0" shapeId="0" xr:uid="{B423A739-92A1-4420-984A-6829422F270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 y SOLEM BBVA</t>
        </r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6" authorId="0" shapeId="0" xr:uid="{B2C1997D-0C71-46A1-9754-D9092C7A683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7" authorId="0" shapeId="0" xr:uid="{3AFAA848-4574-4CA4-BCCF-22180EAD854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29" authorId="0" shapeId="0" xr:uid="{9189CAAB-B7A6-4B17-9F47-62096418CE9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31" authorId="0" shapeId="0" xr:uid="{6684B0B3-7FEA-4020-A40D-0D2F85903BF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2" authorId="0" shapeId="0" xr:uid="{82EDB085-97D8-440E-B767-B1FF1C064C7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 y SOLEM BBVA</t>
        </r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E442AD44-9CC8-489B-8870-D0844203152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6" authorId="0" shapeId="0" xr:uid="{B285DE6F-1F05-4178-8A14-473F5047798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28" authorId="0" shapeId="0" xr:uid="{F8359FA4-D7DE-4BF4-BFE8-8B410961016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30" authorId="0" shapeId="0" xr:uid="{B23D6755-754A-495C-836C-2A8B1238A2B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C69CFF01-7337-4ADF-8251-DD0CA7AD884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 y SOLEM BBVA</t>
        </r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6" authorId="0" shapeId="0" xr:uid="{A41F9D4D-C07C-4B09-8E81-7A19622DE7B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7" authorId="0" shapeId="0" xr:uid="{FC7C4231-B724-468B-B745-EF378319629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29" authorId="0" shapeId="0" xr:uid="{406B95F7-A924-43A4-9CB5-E81ED4DE86F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31" authorId="0" shapeId="0" xr:uid="{D7AAA86A-97CA-47D5-9932-36EDBF4F03D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2" authorId="0" shapeId="0" xr:uid="{9B8EE577-298B-47E8-B92E-EB6A8B989DA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 y SOLEM BBVA</t>
        </r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0FCD498C-1286-4FB3-9D40-39F44C78D62C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0" shapeId="0" xr:uid="{9293EDB5-A43D-4A12-9DD2-3880A1972E6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27" authorId="0" shapeId="0" xr:uid="{0573CD33-C970-4723-BCCE-5B53AA1125F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29" authorId="0" shapeId="0" xr:uid="{FCD59B7F-49F7-447D-AAAD-F28F3800AA3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0" authorId="0" shapeId="0" xr:uid="{F0FF185D-E948-4FCE-81E9-547956B5932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 y SOLEM BBVA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Mendoza</author>
    <author>Oralia Torres</author>
  </authors>
  <commentList>
    <comment ref="E30" authorId="0" shapeId="0" xr:uid="{672873CF-342D-41A4-90DA-B88C5A281E8D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31" authorId="1" shapeId="0" xr:uid="{8A7C9F23-4482-43A7-8F67-C130BD87D520}">
      <text>
        <r>
          <rPr>
            <b/>
            <sz val="9"/>
            <color indexed="81"/>
            <rFont val="Tahoma"/>
            <family val="2"/>
          </rPr>
          <t xml:space="preserve">Oralia Torres:
</t>
        </r>
        <r>
          <rPr>
            <sz val="9"/>
            <color indexed="81"/>
            <rFont val="Tahoma"/>
            <family val="2"/>
          </rPr>
          <t>Nómina semanal 01</t>
        </r>
      </text>
    </comment>
    <comment ref="E32" authorId="1" shapeId="0" xr:uid="{0C1F5D77-7AFB-4CAA-9B3A-9BEE755D8CA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 pendiente</t>
        </r>
      </text>
    </comment>
    <comment ref="E33" authorId="0" shapeId="0" xr:uid="{CD466A1C-8336-4A92-BAD5-7AC0C0ADE006}">
      <text>
        <r>
          <rPr>
            <b/>
            <sz val="9"/>
            <color indexed="81"/>
            <rFont val="Tahoma"/>
            <family val="2"/>
          </rPr>
          <t>Fabian Mendoza:</t>
        </r>
        <r>
          <rPr>
            <sz val="9"/>
            <color indexed="81"/>
            <rFont val="Tahoma"/>
            <family val="2"/>
          </rPr>
          <t xml:space="preserve">
FINIQUITO PABLO
FINIQUITOS ANTOLIN</t>
        </r>
      </text>
    </comment>
    <comment ref="E35" authorId="1" shapeId="0" xr:uid="{D7CB1EB8-553B-4BAC-BDCA-71BB50FB049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FR Y SEM</t>
        </r>
      </text>
    </comment>
    <comment ref="E36" authorId="1" shapeId="0" xr:uid="{EE059522-EDF3-46D0-BE7A-D674A14120D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Quality
Soluciones
In web</t>
        </r>
      </text>
    </comment>
    <comment ref="E37" authorId="1" shapeId="0" xr:uid="{22FCECA0-0700-4443-AC37-F449A8BC89EC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BBVA</t>
        </r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84305981-FEF1-4AE3-93A8-2CEB4F77DD1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0" shapeId="0" xr:uid="{A90EC5E5-11EF-4B2C-A7C3-6513FFF83BB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nómina </t>
        </r>
      </text>
    </comment>
    <comment ref="E27" authorId="0" shapeId="0" xr:uid="{CB76DA74-D5FE-4201-99F2-9004F6C5020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29" authorId="0" shapeId="0" xr:uid="{EEEDF38B-99FF-4FF9-B08C-77CAF174604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0" authorId="0" shapeId="0" xr:uid="{7C71511C-55EC-4D50-B516-61B14EA4F71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 y SOLEM BBVA</t>
        </r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ECE89867-819F-4C54-AC37-BA9D0A5D86B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0" shapeId="0" xr:uid="{8EFDF2A7-117A-4804-B751-A836FFE2673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7" authorId="0" shapeId="0" xr:uid="{27342CA0-96A4-40F5-9A3A-6B730975BA6C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29" authorId="0" shapeId="0" xr:uid="{CAB74A49-1A80-4B7A-91D5-07BD0458AA5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0" authorId="0" shapeId="0" xr:uid="{5EFC30AE-61D9-478F-ABFE-0E068C5DE4E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 y SOLEM BBVA</t>
        </r>
      </text>
    </comment>
  </commentList>
</comments>
</file>

<file path=xl/comments9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4" authorId="0" shapeId="0" xr:uid="{F9D00AC5-C355-4E19-99E0-7589ABBF15C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5" authorId="0" shapeId="0" xr:uid="{9DF13166-D8AF-42E7-A9C2-2C93A522FAB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7" authorId="0" shapeId="0" xr:uid="{18254B32-6CF9-4BCE-ADF0-1C850FCD780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29" authorId="0" shapeId="0" xr:uid="{873856F0-0A03-4837-90AE-AF2CEAFDCAD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0" authorId="0" shapeId="0" xr:uid="{D2AF37BB-E22F-4155-B162-B604073F0D5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 y SOLEM BBVA</t>
        </r>
      </text>
    </comment>
  </commentList>
</comments>
</file>

<file path=xl/comments9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7300C372-2094-4819-AB2B-E7481656001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6" authorId="0" shapeId="0" xr:uid="{C1DE5DB5-2DAE-4482-8233-023B20759A6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8" authorId="0" shapeId="0" xr:uid="{5060624A-97DD-4FF0-95BD-6C4AC86845F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30" authorId="0" shapeId="0" xr:uid="{B4B3DD7F-10D6-4AD5-B1F5-A3A0C6C16C0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8E4407E6-2B14-44FF-81CE-21DE94FFC965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 y SOLEM BBVA</t>
        </r>
      </text>
    </comment>
  </commentList>
</comments>
</file>

<file path=xl/comments9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2FFFA74C-4C6B-422F-8D4E-EC840FD1E61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6" authorId="0" shapeId="0" xr:uid="{2151B1B6-F138-4FCA-B9F4-AFFE4EFE0DE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8" authorId="0" shapeId="0" xr:uid="{98863CF1-AD2F-4299-ADCA-92BD3FA923C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30" authorId="0" shapeId="0" xr:uid="{1FFD1AC3-B073-4707-B43F-E9AB3C129CAC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F916E5D3-F828-47C7-A03D-518755DC737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 y SOLEM BBVA</t>
        </r>
      </text>
    </comment>
  </commentList>
</comments>
</file>

<file path=xl/comments9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6" authorId="0" shapeId="0" xr:uid="{010E78F8-9B38-43FF-9FD6-ACDF0678B09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7" authorId="0" shapeId="0" xr:uid="{DAE66BC1-E116-4468-A22F-5E3498B70DCA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9" authorId="0" shapeId="0" xr:uid="{776E38AB-48D5-4328-B953-E0E56276E42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31" authorId="0" shapeId="0" xr:uid="{AA738A5B-770B-4DE0-92D7-578C04FDC83E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2" authorId="0" shapeId="0" xr:uid="{A35FF1A7-8C88-40F7-8809-297CF0137CF8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 y SOLEM BBVA</t>
        </r>
      </text>
    </comment>
  </commentList>
</comments>
</file>

<file path=xl/comments9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6" authorId="0" shapeId="0" xr:uid="{1293C4D8-51EA-4044-AE16-91113E18E14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7" authorId="0" shapeId="0" xr:uid="{69074B4E-013A-4FDF-8516-5D1D8F519DA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9" authorId="0" shapeId="0" xr:uid="{F7046ABB-4F81-49BC-B1AB-AEF30AD88D62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31" authorId="0" shapeId="0" xr:uid="{86F7A5EA-85C5-4F21-90F0-6EDD7CF0B93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2" authorId="0" shapeId="0" xr:uid="{DABC2E40-3A46-4076-B152-A0C15EB402B3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 y SOLEM BBVA</t>
        </r>
      </text>
    </comment>
  </commentList>
</comments>
</file>

<file path=xl/comments9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6" authorId="0" shapeId="0" xr:uid="{39C14820-6BE0-4439-BC9E-1124850102AB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7" authorId="0" shapeId="0" xr:uid="{32C20CA3-862C-4989-B3FC-2595486CA01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9" authorId="0" shapeId="0" xr:uid="{BA431718-E75F-42FB-AFD1-145E832B327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31" authorId="0" shapeId="0" xr:uid="{4B4A6AD3-B566-47D7-ACF6-032F7439CD39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2" authorId="0" shapeId="0" xr:uid="{E956E4AE-CA5B-4536-ACE6-184DF636EE7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 y SOLEM BBVA</t>
        </r>
      </text>
    </comment>
  </commentList>
</comments>
</file>

<file path=xl/comments9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2679F805-629E-403B-84E7-D67E7C62FB96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6" authorId="0" shapeId="0" xr:uid="{D4954949-7AB9-4102-87BF-4542249FB55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8" authorId="0" shapeId="0" xr:uid="{664699FA-8D57-4C0F-81E6-5E5B3DBD13E1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30" authorId="0" shapeId="0" xr:uid="{73E141DD-1D65-43E5-AADC-FE1B37FEE36D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56D4D249-A92D-4512-9A7B-F320AD9DB87C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 y SOLEM BBVA</t>
        </r>
      </text>
    </comment>
  </commentList>
</comments>
</file>

<file path=xl/comments9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Oralia Torres</author>
  </authors>
  <commentList>
    <comment ref="E25" authorId="0" shapeId="0" xr:uid="{FCE5B6DF-EC52-4F19-A699-4A69098F48D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6" authorId="0" shapeId="0" xr:uid="{1F7DC76E-C9A0-4F32-8343-F0C682EEAEE4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Pagos a terceros</t>
        </r>
      </text>
    </comment>
    <comment ref="E28" authorId="0" shapeId="0" xr:uid="{EFB63C79-BE9E-4CE0-A852-89F2BAC9AB37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Pendiente de pago CT de Coahuila</t>
        </r>
      </text>
    </comment>
    <comment ref="E30" authorId="0" shapeId="0" xr:uid="{EA2E5E45-AD67-4223-9513-0A33703057A0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Calidad
Mexbanking</t>
        </r>
      </text>
    </comment>
    <comment ref="E31" authorId="0" shapeId="0" xr:uid="{E855CB50-FBBA-431C-B859-15DC4D4555DF}">
      <text>
        <r>
          <rPr>
            <b/>
            <sz val="9"/>
            <color indexed="81"/>
            <rFont val="Tahoma"/>
            <family val="2"/>
          </rPr>
          <t>Oralia Torres:</t>
        </r>
        <r>
          <rPr>
            <sz val="9"/>
            <color indexed="81"/>
            <rFont val="Tahoma"/>
            <family val="2"/>
          </rPr>
          <t xml:space="preserve">
Crédito revolvente y SOLEM BBVA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<sst xmlns="http://schemas.openxmlformats.org/spreadsheetml/2006/main" count="12311" uniqueCount="427">
  <si>
    <t>Fecha de reporte</t>
  </si>
  <si>
    <t>Fecha de datos</t>
  </si>
  <si>
    <t>BANCOS</t>
  </si>
  <si>
    <t>Saldos diarios (monto):</t>
  </si>
  <si>
    <t>CUENTAS</t>
  </si>
  <si>
    <t>BANAMEX</t>
  </si>
  <si>
    <t>BBVA</t>
  </si>
  <si>
    <t>SANTANDER</t>
  </si>
  <si>
    <t xml:space="preserve">QUALITY </t>
  </si>
  <si>
    <t>QUALITY</t>
  </si>
  <si>
    <t xml:space="preserve">SOLEM </t>
  </si>
  <si>
    <t>BANAMEX (INVERSION)</t>
  </si>
  <si>
    <t xml:space="preserve">TRANSPORTACION </t>
  </si>
  <si>
    <t>COBRANZA PENDIENTE:</t>
  </si>
  <si>
    <t>MEXBANKING</t>
  </si>
  <si>
    <t xml:space="preserve">(-)Cobranza pendientes de aplicar </t>
  </si>
  <si>
    <t xml:space="preserve">SANTANDER </t>
  </si>
  <si>
    <t>PAGOS PENDIENTES (TERCEROS)</t>
  </si>
  <si>
    <t>IN WEB</t>
  </si>
  <si>
    <t>VALES DESPENSA</t>
  </si>
  <si>
    <t xml:space="preserve"> </t>
  </si>
  <si>
    <t xml:space="preserve">CUENTAS DE INVERSION </t>
  </si>
  <si>
    <t>FINIQUITOS</t>
  </si>
  <si>
    <t>ASIMILADOS</t>
  </si>
  <si>
    <t>IKL</t>
  </si>
  <si>
    <t>RENTAS</t>
  </si>
  <si>
    <t>SOLEM</t>
  </si>
  <si>
    <t>30,000 prov. aguin., 20 mil laudo, 8,225 fiesta</t>
  </si>
  <si>
    <t>100 MIL</t>
  </si>
  <si>
    <t>Otros: Pago de Préstamo</t>
  </si>
  <si>
    <t xml:space="preserve">273 mil prov. aguin., 75 mil laudo </t>
  </si>
  <si>
    <t>425 MIL</t>
  </si>
  <si>
    <t xml:space="preserve">771 mil prov. Aguin., </t>
  </si>
  <si>
    <t>550 MIL</t>
  </si>
  <si>
    <t>SALDO INICIAL</t>
  </si>
  <si>
    <t xml:space="preserve">INVERSION </t>
  </si>
  <si>
    <t>CRED. REV.</t>
  </si>
  <si>
    <t>COBRANZA</t>
  </si>
  <si>
    <t>TOTAL ING</t>
  </si>
  <si>
    <t>PTU</t>
  </si>
  <si>
    <t>TERCEROS</t>
  </si>
  <si>
    <t>TOTAL GTOS</t>
  </si>
  <si>
    <t>TOTAL NECESIDAD</t>
  </si>
  <si>
    <t>PRÉSTAMO SYNOVOS</t>
  </si>
  <si>
    <t>PRÉSTAMO FACIL</t>
  </si>
  <si>
    <t>PROV. AGUIN.</t>
  </si>
  <si>
    <t>TOTAL PRÉSTAMOS</t>
  </si>
  <si>
    <t>SALDO FINAL</t>
  </si>
  <si>
    <t>SEMANA 01</t>
  </si>
  <si>
    <t>NÓMINA SEM 01</t>
  </si>
  <si>
    <t>CATORCENA</t>
  </si>
  <si>
    <t>CATORCENA 01</t>
  </si>
  <si>
    <t>FONACOT</t>
  </si>
  <si>
    <t>CREDITO BBVA</t>
  </si>
  <si>
    <t>AIRC FINAN</t>
  </si>
  <si>
    <t>SEGURO</t>
  </si>
  <si>
    <t>SALUD DIGNA</t>
  </si>
  <si>
    <t>ZF MEXICO</t>
  </si>
  <si>
    <t>NOMINA SEMANAL</t>
  </si>
  <si>
    <t>PEND ASIM</t>
  </si>
  <si>
    <t>SIEGWERK</t>
  </si>
  <si>
    <t>SEG AUTOMOTIVE</t>
  </si>
  <si>
    <t>JOSE SANCHEZ ALVA</t>
  </si>
  <si>
    <t>STELLANTIS</t>
  </si>
  <si>
    <t>ISN</t>
  </si>
  <si>
    <t>NÓMINA SEM 02</t>
  </si>
  <si>
    <t>SEMANA 02</t>
  </si>
  <si>
    <t>NÓMINA QUINC 01</t>
  </si>
  <si>
    <t>ASIM QUINC 01</t>
  </si>
  <si>
    <t>RENTA</t>
  </si>
  <si>
    <t>ANTOLIN</t>
  </si>
  <si>
    <t xml:space="preserve"> ASOCIACION DE COLONES </t>
  </si>
  <si>
    <t xml:space="preserve"> SEG AUTOMOTIVE </t>
  </si>
  <si>
    <t xml:space="preserve"> ECOPLATING SA DE CV </t>
  </si>
  <si>
    <t xml:space="preserve"> CHILL IT MEXICO S DE RL DE CV </t>
  </si>
  <si>
    <t xml:space="preserve"> SEG AUTOMOTIVE MEXICO MANUFACT </t>
  </si>
  <si>
    <t xml:space="preserve"> ANTOLIN SALTILLO </t>
  </si>
  <si>
    <t>NOMINA QUINC</t>
  </si>
  <si>
    <t>ASIM QUINC</t>
  </si>
  <si>
    <t>TOTAL SYSTEM</t>
  </si>
  <si>
    <t>IMSS</t>
  </si>
  <si>
    <t>SAT</t>
  </si>
  <si>
    <t>NOMINA CAT 02</t>
  </si>
  <si>
    <t>NOMINA CAT</t>
  </si>
  <si>
    <t>HAAS</t>
  </si>
  <si>
    <t>GRUPO PHYXIUS</t>
  </si>
  <si>
    <t>SEMANA 03</t>
  </si>
  <si>
    <t xml:space="preserve"> HITCHINER </t>
  </si>
  <si>
    <t xml:space="preserve"> KIRIUM </t>
  </si>
  <si>
    <t>NOMINA SEM</t>
  </si>
  <si>
    <t>STELLANTIS MEXICO</t>
  </si>
  <si>
    <t>CRÉD. REVOLVENTE</t>
  </si>
  <si>
    <t>RENOVA INDUSTRIAL</t>
  </si>
  <si>
    <t>HITCHINER</t>
  </si>
  <si>
    <t>STOREROOM SOLUTIONS</t>
  </si>
  <si>
    <t>NÓMINA SEM 03</t>
  </si>
  <si>
    <t>Mromayo1912*</t>
  </si>
  <si>
    <t>TURTLE AND HUGHES MEXICO S DE</t>
  </si>
  <si>
    <t>AUTOELECTRICA JDF</t>
  </si>
  <si>
    <t>ELRING KLINGER MEXICO S.A. DE C.V.</t>
  </si>
  <si>
    <t>SEGAUTOMOTIVEMEXICOMANUFACT</t>
  </si>
  <si>
    <t>ANTOLIN INTERIORS MEXICO SA</t>
  </si>
  <si>
    <t>NOMINA QUINC 02</t>
  </si>
  <si>
    <t>ASIM QUINC 02</t>
  </si>
  <si>
    <t>CATORCENA 03</t>
  </si>
  <si>
    <t>VALES</t>
  </si>
  <si>
    <t xml:space="preserve">TOTAL SYSTEM </t>
  </si>
  <si>
    <t>SEMANA 05</t>
  </si>
  <si>
    <t xml:space="preserve">SEG AUTOMOTIVE </t>
  </si>
  <si>
    <t>COMPAÑÍA MANUFACTURERA</t>
  </si>
  <si>
    <t>ANTOLIN INTERIORS</t>
  </si>
  <si>
    <t xml:space="preserve">HITCHINER </t>
  </si>
  <si>
    <t>SALUD DIGNA AC</t>
  </si>
  <si>
    <t>SEMANA 06</t>
  </si>
  <si>
    <t xml:space="preserve">COMBUSTIBLES LEON </t>
  </si>
  <si>
    <t>NÓMINA SEM 06</t>
  </si>
  <si>
    <t>CAJA DE AHORRO</t>
  </si>
  <si>
    <t>PROV. AGUINALDO</t>
  </si>
  <si>
    <t>SIEGWERK MEXICO SA D E CV</t>
  </si>
  <si>
    <t>HAAS TCM DE MEXICO</t>
  </si>
  <si>
    <t>SEG AUTOMOTIVE MEXICO MANUFACT</t>
  </si>
  <si>
    <t xml:space="preserve">TOTAL SISTEM </t>
  </si>
  <si>
    <t>RENOVA INDUSTRIAL S A DE C V</t>
  </si>
  <si>
    <t>NÓMINA SEM 07</t>
  </si>
  <si>
    <t>NÓMINA CAT 04</t>
  </si>
  <si>
    <t>NÓMINA QUINC 03</t>
  </si>
  <si>
    <t>ASIM QUINC 03</t>
  </si>
  <si>
    <t>SEMANA 07</t>
  </si>
  <si>
    <t xml:space="preserve">RENTA/REEMBOLSOS </t>
  </si>
  <si>
    <t>MAHLE COMPONENTES DE MOTOR DE</t>
  </si>
  <si>
    <t>MINCER ASESORIA SA DE CV</t>
  </si>
  <si>
    <t>SEMANA 08</t>
  </si>
  <si>
    <t>MANTENIMIENTO EL CORTIJO</t>
  </si>
  <si>
    <t>NÓMINA SEM 08</t>
  </si>
  <si>
    <t>SEMANA 09</t>
  </si>
  <si>
    <t>NÓMINA SEM 09</t>
  </si>
  <si>
    <t>BAJA STELLANTIS</t>
  </si>
  <si>
    <t>NOMINA QUINC 04</t>
  </si>
  <si>
    <t>ASIM QUINC 04</t>
  </si>
  <si>
    <t>CATORCENA 04</t>
  </si>
  <si>
    <t xml:space="preserve">NOMINA SEM </t>
  </si>
  <si>
    <t>SISTEMAS INTEGRALES DE CALIBRA</t>
  </si>
  <si>
    <t>MAHLE COMPONENTES</t>
  </si>
  <si>
    <t>ELRING KLINGER MEXICO</t>
  </si>
  <si>
    <t>SAT - SOLEM</t>
  </si>
  <si>
    <t>PROVISION AGUIN</t>
  </si>
  <si>
    <t>NOMINA SEM 09</t>
  </si>
  <si>
    <t>ALPLA MEXICO</t>
  </si>
  <si>
    <t>PRODISA COMERCIALIZACION</t>
  </si>
  <si>
    <t>ASOCIACION DE COLONOS</t>
  </si>
  <si>
    <t>yomi</t>
  </si>
  <si>
    <t>morris</t>
  </si>
  <si>
    <t xml:space="preserve">NOM SEM </t>
  </si>
  <si>
    <t>A. INTERIORS MEXICO</t>
  </si>
  <si>
    <t>APOYO BECARIOS</t>
  </si>
  <si>
    <t>SEMANA 10</t>
  </si>
  <si>
    <t xml:space="preserve">SISTEMAS INTEGRALES DE CALIBRACION </t>
  </si>
  <si>
    <t>SERVICIOS DE ADMINITRACION Y OPERACIÓN</t>
  </si>
  <si>
    <t>CHILL IT MEXICO S DE RL DE C</t>
  </si>
  <si>
    <t>STELLANTIS MEXICO, S.A. DE C.V</t>
  </si>
  <si>
    <t>ASOCIACION DE COLONO S DEL CON</t>
  </si>
  <si>
    <t>SEG AUTOMOTIVE MEXICO</t>
  </si>
  <si>
    <t>BBM-CPG MEXICANA SA DE CV</t>
  </si>
  <si>
    <t>NOMINA</t>
  </si>
  <si>
    <t>NOMINA SEM 11</t>
  </si>
  <si>
    <t>NOMINA QUINC 05</t>
  </si>
  <si>
    <t>ASIM QUINC 05</t>
  </si>
  <si>
    <t>CATORCENA 05</t>
  </si>
  <si>
    <t>SEMANA 11</t>
  </si>
  <si>
    <t xml:space="preserve">ANTOLIN </t>
  </si>
  <si>
    <t>SEMANA</t>
  </si>
  <si>
    <t>SEMANA 12</t>
  </si>
  <si>
    <t>SIEGWERK MEXICO</t>
  </si>
  <si>
    <t>NOMINA SEM 12</t>
  </si>
  <si>
    <t>SEMANA 13</t>
  </si>
  <si>
    <t>NOMINA SEM 13</t>
  </si>
  <si>
    <t>NOMINA QUINC 06</t>
  </si>
  <si>
    <t>ASIM QUINC 06</t>
  </si>
  <si>
    <t xml:space="preserve">NOM QUINC </t>
  </si>
  <si>
    <t>NOM SEM</t>
  </si>
  <si>
    <t>NOM CAT</t>
  </si>
  <si>
    <t>EDGAR GLZ.</t>
  </si>
  <si>
    <t xml:space="preserve">ALPLA MEXICO </t>
  </si>
  <si>
    <t>SEMANA 14</t>
  </si>
  <si>
    <t>CAJA</t>
  </si>
  <si>
    <t>FONCOT</t>
  </si>
  <si>
    <t>SEG AUTOMOTIVE MEXICO </t>
  </si>
  <si>
    <t>BANORTE</t>
  </si>
  <si>
    <t>TRANSPORTACION</t>
  </si>
  <si>
    <t>NOM QUINC</t>
  </si>
  <si>
    <t>SEMANA 15</t>
  </si>
  <si>
    <t>aguinaldo</t>
  </si>
  <si>
    <t>INVERSION</t>
  </si>
  <si>
    <t>DE LEY</t>
  </si>
  <si>
    <t>EMPRESA</t>
  </si>
  <si>
    <t>SOLUCIONES</t>
  </si>
  <si>
    <t xml:space="preserve">STELLANTIS </t>
  </si>
  <si>
    <t>SEMANA 16</t>
  </si>
  <si>
    <t>CREDITO AIRC</t>
  </si>
  <si>
    <t>SEMANA 17</t>
  </si>
  <si>
    <t>SEMANA 18</t>
  </si>
  <si>
    <t>QUINC</t>
  </si>
  <si>
    <t>ASIM</t>
  </si>
  <si>
    <t xml:space="preserve"> 29,788.80 </t>
  </si>
  <si>
    <t> TURTLE AND HUGHES</t>
  </si>
  <si>
    <t>CREDITO REV QS</t>
  </si>
  <si>
    <t>CREDITO REV CT</t>
  </si>
  <si>
    <t> STELLANTIS MEXICO, S.A. DE C.V</t>
  </si>
  <si>
    <t>ZF MEXICO SA DE CV</t>
  </si>
  <si>
    <t>ANTOLIN INTERIROS</t>
  </si>
  <si>
    <t>30/04/2024 - 9:53:21 AM</t>
  </si>
  <si>
    <t>Detalle de movimientos</t>
  </si>
  <si>
    <t>Cuenta con / sin chequera - Mes actual - Abril</t>
  </si>
  <si>
    <t>CSYAP SOLUCIONES EMPRESARIALES SA DE CV</t>
  </si>
  <si>
    <t>Número de cuenta:</t>
  </si>
  <si>
    <t>Saldo disponible:</t>
  </si>
  <si>
    <t>Fecha</t>
  </si>
  <si>
    <t>Concepto / Referencia</t>
  </si>
  <si>
    <t>Cargo</t>
  </si>
  <si>
    <t>Abono</t>
  </si>
  <si>
    <t>Saldo</t>
  </si>
  <si>
    <t>COMPENSACION POR RETRASO/COMP SPEI</t>
  </si>
  <si>
    <t>HSB5326519</t>
  </si>
  <si>
    <t>SPEI ENVIADO HSBC/0030559263 021</t>
  </si>
  <si>
    <t>0290424PENSION QUINC 08</t>
  </si>
  <si>
    <t>SPEI RECIBIDOHSBC/0115174540 021</t>
  </si>
  <si>
    <t>1240429FACIL NA MEXICO</t>
  </si>
  <si>
    <t>SPEI DEVUELTOHSBC/0030087033 021</t>
  </si>
  <si>
    <t>0260424PENSION QUINC 08</t>
  </si>
  <si>
    <t>SPEI ENVIADO BANAMEX/0030087596 002</t>
  </si>
  <si>
    <t>SPEI ENVIADO HSBC/0030087033 021</t>
  </si>
  <si>
    <t>SPEI ENVIADO BANAMEX/0030086176 002</t>
  </si>
  <si>
    <t>SPEI ENVIADO BANAMEX/0030085207 002</t>
  </si>
  <si>
    <t>0260424NOMINA QUINC 08</t>
  </si>
  <si>
    <t>PAGO DE NOMINA/IN 4206006213</t>
  </si>
  <si>
    <t>CSYAP SOLUCIONES EMP RESARIALES SA DE</t>
  </si>
  <si>
    <t>PAGO DE NOMINA/2850719815</t>
  </si>
  <si>
    <t>0260424 NOMINA QU</t>
  </si>
  <si>
    <t>PAGO CUENTA DE TERCERO/ 0033335196</t>
  </si>
  <si>
    <t>BNET 1567001866 FINIQUITO</t>
  </si>
  <si>
    <t>SPEI ENVIADO SANTANDER/0029978149 014</t>
  </si>
  <si>
    <t>0260424FINIQUITO</t>
  </si>
  <si>
    <t>SPEI ENVIADO HSBC/0029976181 021</t>
  </si>
  <si>
    <t>0260424LIQUIDACION</t>
  </si>
  <si>
    <t>SPEI ENVIADO SANTANDER/0029973276 014</t>
  </si>
  <si>
    <t>0260424NOMINA SEM 17</t>
  </si>
  <si>
    <t>IVA COMISION CHEQUE CAJA/0002881</t>
  </si>
  <si>
    <t>COMISION CHEQUE DE CAJA/0002881</t>
  </si>
  <si>
    <t>COMPRA CHEQUE DE CAJA/0002881</t>
  </si>
  <si>
    <t>YAHAIRA ODETTE MORALES MENDEZ</t>
  </si>
  <si>
    <t>PAGO DE NOMINA/2848368386</t>
  </si>
  <si>
    <t>0250424 NOMINA</t>
  </si>
  <si>
    <t>EFECTIVALE S DE RL D/GUIA:0631576</t>
  </si>
  <si>
    <t>REF:1000000PD00808107142 CIE:1077074</t>
  </si>
  <si>
    <t>SPEI ENVIADO AZTECA/0029709581 127</t>
  </si>
  <si>
    <t>0250424PENSION SEM 17</t>
  </si>
  <si>
    <t>SPEI ENVIADO NU MEXICO/0029708863 638</t>
  </si>
  <si>
    <t>0250424NOMINA SEM 17</t>
  </si>
  <si>
    <t>SPEI ENVIADO BANAMEX/0029708224 002</t>
  </si>
  <si>
    <t>SPEI RECIBIDOHSBC/0188254568 021</t>
  </si>
  <si>
    <t>1240422FACIL NA MEXICO</t>
  </si>
  <si>
    <t>PAGO CUENTA DE TERCERO/ 0054607108</t>
  </si>
  <si>
    <t>BNET 1596434406 NOMINA SEM 16</t>
  </si>
  <si>
    <t>SPEI ENVIADO SANTANDER/0028503888 014</t>
  </si>
  <si>
    <t>0190424FINIQUITO</t>
  </si>
  <si>
    <t>PAGO DE NOMINA/2844564682</t>
  </si>
  <si>
    <t>0180424 NOMINA</t>
  </si>
  <si>
    <t>SPEI ENVIADO AZTECA/0028272830 127</t>
  </si>
  <si>
    <t>0180424PENSION SEM 16</t>
  </si>
  <si>
    <t>SPEI ENVIADO NU MEXICO/0028263569 638</t>
  </si>
  <si>
    <t>0180424NOMINA SEM 16</t>
  </si>
  <si>
    <t>SPEI ENVIADO BANAMEX/0028260506 002</t>
  </si>
  <si>
    <t>SPEI RECIBIDOHSBC/0165270547 021</t>
  </si>
  <si>
    <t>1240416FACIL NA MEXICO</t>
  </si>
  <si>
    <t>SPEI ENVIADO BANAMEX/0027010220 002</t>
  </si>
  <si>
    <t>0120424PENSION QUINC 07</t>
  </si>
  <si>
    <t>SPEI ENVIADO HSBC/0027009408 021</t>
  </si>
  <si>
    <t>SPEI ENVIADO BANAMEX/0027008330 002</t>
  </si>
  <si>
    <t>SPEI ENVIADO BANAMEX/0027006208 002</t>
  </si>
  <si>
    <t>0120424NOMINA QUINC 07</t>
  </si>
  <si>
    <t>EFECTIVALE S DE RL D/GUIA:5471914</t>
  </si>
  <si>
    <t>REF:1000000PD00803405255 CIE:1077074</t>
  </si>
  <si>
    <t>EFECTIVALE S DE RL D/GUIA:5469555</t>
  </si>
  <si>
    <t>REF:1000000PD00802817654 CIE:1077074</t>
  </si>
  <si>
    <t>PAGO CUENTA DE TERCERO/ 0026835053</t>
  </si>
  <si>
    <t>BNET 1569874394 FINIQUITO</t>
  </si>
  <si>
    <t>SPEI ENVIADO BANAMEX/0026997756 002</t>
  </si>
  <si>
    <t>0120424FINIQUITO</t>
  </si>
  <si>
    <t>PAGO DE NOMINA/2838170366</t>
  </si>
  <si>
    <t>0110424 NOMINA QU</t>
  </si>
  <si>
    <t>PAGO DE NOMINA/2838170053</t>
  </si>
  <si>
    <t>0110424 NOMINA</t>
  </si>
  <si>
    <t>SPEI ENVIADO AZTECA/0026658920 127</t>
  </si>
  <si>
    <t>0110424PENSION SEM 15</t>
  </si>
  <si>
    <t>SPEI ENVIADO NU MEXICO/0026658306 638</t>
  </si>
  <si>
    <t>0110424NOMINA SEM 15</t>
  </si>
  <si>
    <t>SPEI ENVIADO BANAMEX/0026657561 002</t>
  </si>
  <si>
    <t>TRASPASO CUENTAS PROPIAS/ 0017474007</t>
  </si>
  <si>
    <t>CUENTA: 0195310954 BNET</t>
  </si>
  <si>
    <t>TRASPASO CUENTAS PROPIAS/ 0038218010</t>
  </si>
  <si>
    <t>TRASPASO CUENTAS PROPIAS/ 0042615005</t>
  </si>
  <si>
    <t>SPEI RECIBIDOHSBC/0135252748 021</t>
  </si>
  <si>
    <t>1240409FACIL NA MEXICO</t>
  </si>
  <si>
    <t>SPEI ENVIADO BANAMEX/0025899408 002</t>
  </si>
  <si>
    <t>0080424REEMBOLSO VIATICOS</t>
  </si>
  <si>
    <t>EFECTIVALE S DE RL D/GUIA:2910310</t>
  </si>
  <si>
    <t>REF:1000000PD00802513542 CIE:1077074</t>
  </si>
  <si>
    <t>PAGO CUENTA DE TERCERO/ 0051590185</t>
  </si>
  <si>
    <t>BNET 1501419361 FINIQUITO</t>
  </si>
  <si>
    <t>SPEI ENVIADO BANAMEX/0025556939 002</t>
  </si>
  <si>
    <t>0050424FINIQUITO</t>
  </si>
  <si>
    <t>PAGO CUENTA DE TERCERO/ 0051590155</t>
  </si>
  <si>
    <t>BNET 1513306897 NOMINA SEM 14</t>
  </si>
  <si>
    <t>TRASPASO CUENTAS PROPIAS/ 0051590105</t>
  </si>
  <si>
    <t>INSTITUTO DEL FONDO/GUIA:2903152</t>
  </si>
  <si>
    <t>REF:70000525756838171271 CIE:1260766</t>
  </si>
  <si>
    <t>PAGO DE NOMINA/2833692050</t>
  </si>
  <si>
    <t>0040424 NOMINA</t>
  </si>
  <si>
    <t>SPEI ENVIADO BANCOPPEL/0025208380 137</t>
  </si>
  <si>
    <t>SPEI ENVIADO AZTECA/0025206189 127</t>
  </si>
  <si>
    <t>0040424PENSION SEM 14</t>
  </si>
  <si>
    <t>SPEI ENVIADO NU MEXICO/0025205693 638</t>
  </si>
  <si>
    <t>0040424NOMINA SEM 14</t>
  </si>
  <si>
    <t>SPEI ENVIADO BANAMEX/0025204042 002</t>
  </si>
  <si>
    <t>TRASPASO CUENTAS PROPIAS/ 0025716024</t>
  </si>
  <si>
    <t>SPEI RECIBIDOHSBC/0105538781 021</t>
  </si>
  <si>
    <t>1240401FACIL NA MEXICO</t>
  </si>
  <si>
    <t>En cumplimiento a la Ley para la transparencia le presentamos el desglose de la comisión cobrada en caso de haber utilizado Cajeros Automáticos de otras entidades financieras.</t>
  </si>
  <si>
    <t>sem 17</t>
  </si>
  <si>
    <t>sem 17 interb</t>
  </si>
  <si>
    <t>MANTENIMIENTO EL CORTIJO AC</t>
  </si>
  <si>
    <t>PRESTAMO JGL</t>
  </si>
  <si>
    <t>SEMANA 19</t>
  </si>
  <si>
    <t>PRODISA COMERCIALIZA</t>
  </si>
  <si>
    <t>ELRING KINGLER MEXICO S.A. DE C.V.</t>
  </si>
  <si>
    <t>SEMANA 20</t>
  </si>
  <si>
    <t>PROV. PERM</t>
  </si>
  <si>
    <t>COLOMBIN BEL,SA DE C V</t>
  </si>
  <si>
    <t>SEMANA 21</t>
  </si>
  <si>
    <t>ALPLA MEXICO SA DE CV</t>
  </si>
  <si>
    <t>ct</t>
  </si>
  <si>
    <t>mex</t>
  </si>
  <si>
    <t>solem</t>
  </si>
  <si>
    <t xml:space="preserve">ELRING KLINGER </t>
  </si>
  <si>
    <t xml:space="preserve">PAYCLIP S </t>
  </si>
  <si>
    <t>SEMANA 22</t>
  </si>
  <si>
    <t>DEV AIRC (COBRANZA)</t>
  </si>
  <si>
    <t>DEV JGL (COBRANZA)</t>
  </si>
  <si>
    <t>HICHINER</t>
  </si>
  <si>
    <t xml:space="preserve">NOMINA </t>
  </si>
  <si>
    <t>EXPERTOS FISCALES ADMINISTRATI</t>
  </si>
  <si>
    <t>COMBUSTIBLES DE LEON</t>
  </si>
  <si>
    <t>MASWER</t>
  </si>
  <si>
    <t>SEMANA 23</t>
  </si>
  <si>
    <t>SEMANA 24</t>
  </si>
  <si>
    <t>NOM QUIN</t>
  </si>
  <si>
    <t>ASIM  QUIN</t>
  </si>
  <si>
    <t>ANTOLIN CUATITLAN</t>
  </si>
  <si>
    <t>.</t>
  </si>
  <si>
    <t>FINIQUITO</t>
  </si>
  <si>
    <t>ASIMLIDOS</t>
  </si>
  <si>
    <t>NOMINA CATORCENAL</t>
  </si>
  <si>
    <t>STELLANTIS MÉXICO</t>
  </si>
  <si>
    <t>HUBELL PRODUCTS MEXICO</t>
  </si>
  <si>
    <t>MC PLASTICOS DE MÉXICO</t>
  </si>
  <si>
    <t>SISTEMAS INTEGRALES DE CALIBRACIÓN</t>
  </si>
  <si>
    <t>IMPUESTOS</t>
  </si>
  <si>
    <t>GRUPO OSDELSA</t>
  </si>
  <si>
    <t>NOMINA QUINCENAL</t>
  </si>
  <si>
    <t>TOTAL SYSTEM SERVICES DE MEXICO</t>
  </si>
  <si>
    <t>STELLANTIS MEXICO SA DE CV</t>
  </si>
  <si>
    <t>AXA SEGUROS SA DE CV</t>
  </si>
  <si>
    <t>BBM CPG MEXICANA</t>
  </si>
  <si>
    <t>CSYAP FACIL</t>
  </si>
  <si>
    <t>DEBO DE QUALITY</t>
  </si>
  <si>
    <t>CALIDAD</t>
  </si>
  <si>
    <t>DESPACHO PEREZ CEREZO Y ASOCIADOS</t>
  </si>
  <si>
    <t>AXA SEGUROS</t>
  </si>
  <si>
    <t>QUALITY-FACIL</t>
  </si>
  <si>
    <t>QUALITY-CT</t>
  </si>
  <si>
    <t>PRÉSTAMO CT</t>
  </si>
  <si>
    <t>SEMANA 32</t>
  </si>
  <si>
    <t>SEG AUTOMOTIVE MEXICO MANUFACTURING</t>
  </si>
  <si>
    <t>SECO TOOLS DE MEXICO</t>
  </si>
  <si>
    <t>SEMANA 33</t>
  </si>
  <si>
    <t>JGL (PRESTAMO)</t>
  </si>
  <si>
    <t>FIESTA FIN DE AÑO</t>
  </si>
  <si>
    <t>MANUFACTURERA DE CIGUEÑALES DE MEXICO</t>
  </si>
  <si>
    <t>LOGISTICA Y TRANSPORTE PARA LA INDUSTRIA DE LA SALUD</t>
  </si>
  <si>
    <t>M C PLASTICOS DE MEXICO</t>
  </si>
  <si>
    <t>SISTEMAS INTEGRALES DE CALIBRACION Y ASEGURAMIENTO METROLOGICO</t>
  </si>
  <si>
    <t>SEMANA 34</t>
  </si>
  <si>
    <t xml:space="preserve">EXPERTOS FISCALES </t>
  </si>
  <si>
    <t>18,089.18 </t>
  </si>
  <si>
    <t>ANTOLIN INTERIORS MEXICO</t>
  </si>
  <si>
    <t>SEMANA 35</t>
  </si>
  <si>
    <t>TRALEROCCE</t>
  </si>
  <si>
    <t>MAHLE SISTEMAS DE FILTRACION DE MEXICO</t>
  </si>
  <si>
    <t>AIRC</t>
  </si>
  <si>
    <t>PAPELERA DEL NEVADO</t>
  </si>
  <si>
    <t>SISTEMAS INTEGRALES DE CALIBRACION</t>
  </si>
  <si>
    <t>SEMANA 36</t>
  </si>
  <si>
    <t>CLICK EFFICIENCY</t>
  </si>
  <si>
    <t>MERCADEO INTERACTIVO GCR</t>
  </si>
  <si>
    <t>SEMANA 37</t>
  </si>
  <si>
    <t>SOLEM0908b*</t>
  </si>
  <si>
    <t>TURTLE &amp; HUGHES MEXICO</t>
  </si>
  <si>
    <t>TRUPER</t>
  </si>
  <si>
    <t>SALDO NUEVO</t>
  </si>
  <si>
    <t>SALDO MENOR AL MINIMO</t>
  </si>
  <si>
    <t>SALDO DISPONIBLE</t>
  </si>
  <si>
    <t>(-)</t>
  </si>
  <si>
    <t>(=)</t>
  </si>
  <si>
    <t>GASTOS DEL DIA</t>
  </si>
  <si>
    <t>SALDO TOTAL</t>
  </si>
  <si>
    <t>SALDO MINIMO</t>
  </si>
  <si>
    <t>BBM-CPG MEXICANA</t>
  </si>
  <si>
    <t>SEMANA 38</t>
  </si>
  <si>
    <t>IMSS SYN</t>
  </si>
  <si>
    <t>ASIM QUIN</t>
  </si>
  <si>
    <t>SEMANA 39</t>
  </si>
  <si>
    <t>ZF CHASSIS TECHNOLOGY</t>
  </si>
  <si>
    <t>SEMANA 40</t>
  </si>
  <si>
    <t>FORMATO                                                                                                                                     REPORTE DE SALDOS</t>
  </si>
  <si>
    <t>Fecha de datos:</t>
  </si>
  <si>
    <t>Código: F1PNO-CYA-05.01</t>
  </si>
  <si>
    <t>Área: Tesorería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</si>
</sst>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\ #,##0.00"/>
    <numFmt numFmtId="165" formatCode="&quot;$&quot;#,##0.00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Futura Lt BT"/>
      <family val="2"/>
    </font>
    <font>
      <sz val="11"/>
      <color rgb="FFFF0000"/>
      <name val="Futura Lt BT"/>
      <family val="2"/>
    </font>
    <font>
      <sz val="14"/>
      <color theme="0"/>
      <name val="Futura Lt BT"/>
      <family val="2"/>
    </font>
    <font>
      <b/>
      <sz val="14"/>
      <color theme="0"/>
      <name val="Futura Lt BT"/>
      <family val="2"/>
    </font>
    <font>
      <sz val="14"/>
      <color rgb="FFFF0000"/>
      <name val="Futura Lt BT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Futura Lt BT"/>
      <family val="2"/>
    </font>
    <font>
      <b/>
      <sz val="11"/>
      <color theme="1"/>
      <name val="Futura Lt BT"/>
      <family val="2"/>
    </font>
    <font>
      <sz val="11"/>
      <name val="Calibri"/>
      <family val="2"/>
      <scheme val="minor"/>
    </font>
    <font>
      <sz val="11"/>
      <color theme="0"/>
      <name val="Futura Lt BT"/>
      <family val="2"/>
    </font>
    <font>
      <b/>
      <sz val="11"/>
      <color theme="4" tint="-0.499984740745262"/>
      <name val="Futura Lt BT"/>
      <family val="2"/>
    </font>
    <font>
      <sz val="11"/>
      <name val="Futura Lt BT"/>
      <family val="2"/>
    </font>
    <font>
      <sz val="10"/>
      <name val="Arial"/>
      <family val="2"/>
    </font>
    <font>
      <sz val="11"/>
      <color theme="4" tint="-0.499984740745262"/>
      <name val="Futura Lt BT"/>
      <family val="2"/>
    </font>
    <font>
      <sz val="10"/>
      <color theme="4" tint="-0.499984740745262"/>
      <name val="Futura Lt BT"/>
      <family val="2"/>
    </font>
    <font>
      <sz val="11"/>
      <color theme="5" tint="-0.249977111117893"/>
      <name val="Futura Lt BT"/>
      <family val="2"/>
    </font>
    <font>
      <b/>
      <sz val="11"/>
      <name val="Futura Lt BT"/>
      <family val="2"/>
    </font>
    <font>
      <sz val="11"/>
      <color rgb="FF002060"/>
      <name val="Futura Lt BT"/>
      <family val="2"/>
    </font>
    <font>
      <sz val="11"/>
      <color rgb="FF00206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4"/>
      <name val="Futura Lt BT"/>
      <family val="2"/>
    </font>
    <font>
      <b/>
      <sz val="14"/>
      <color theme="0"/>
      <name val="Calibri"/>
      <family val="2"/>
      <scheme val="minor"/>
    </font>
    <font>
      <u val="doubleAccounting"/>
      <sz val="11"/>
      <name val="Calibri"/>
      <family val="2"/>
      <scheme val="minor"/>
    </font>
    <font>
      <u val="doubleAccounting"/>
      <sz val="11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1D3E8"/>
        <bgColor indexed="64"/>
      </patternFill>
    </fill>
    <fill>
      <patternFill patternType="solid">
        <fgColor rgb="FFFFFF00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hair">
        <color theme="4" tint="-0.249977111117893"/>
      </bottom>
      <diagonal/>
    </border>
    <border>
      <left/>
      <right/>
      <top style="medium">
        <color theme="8" tint="-0.499984740745262"/>
      </top>
      <bottom style="hair">
        <color theme="4" tint="-0.249977111117893"/>
      </bottom>
      <diagonal/>
    </border>
    <border>
      <left/>
      <right style="hair">
        <color theme="4" tint="-0.249977111117893"/>
      </right>
      <top style="medium">
        <color theme="8" tint="-0.499984740745262"/>
      </top>
      <bottom style="hair">
        <color theme="4" tint="-0.249977111117893"/>
      </bottom>
      <diagonal/>
    </border>
    <border>
      <left style="hair">
        <color theme="4" tint="-0.249977111117893"/>
      </left>
      <right style="medium">
        <color theme="8" tint="-0.499984740745262"/>
      </right>
      <top style="medium">
        <color theme="8" tint="-0.499984740745262"/>
      </top>
      <bottom style="hair">
        <color theme="4" tint="-0.249977111117893"/>
      </bottom>
      <diagonal/>
    </border>
    <border>
      <left style="medium">
        <color theme="8" tint="-0.499984740745262"/>
      </left>
      <right/>
      <top style="hair">
        <color theme="4" tint="-0.249977111117893"/>
      </top>
      <bottom style="hair">
        <color theme="4" tint="-0.249977111117893"/>
      </bottom>
      <diagonal/>
    </border>
    <border>
      <left/>
      <right/>
      <top style="hair">
        <color theme="4" tint="-0.249977111117893"/>
      </top>
      <bottom style="hair">
        <color theme="4" tint="-0.249977111117893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medium">
        <color theme="8" tint="-0.499984740745262"/>
      </right>
      <top style="hair">
        <color theme="4" tint="-0.249977111117893"/>
      </top>
      <bottom style="hair">
        <color theme="4" tint="-0.249977111117893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hair">
        <color theme="4" tint="-0.249977111117893"/>
      </bottom>
      <diagonal/>
    </border>
    <border>
      <left/>
      <right/>
      <top style="medium">
        <color theme="4" tint="-0.249977111117893"/>
      </top>
      <bottom style="hair">
        <color theme="4" tint="-0.249977111117893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 style="hair">
        <color theme="4" tint="-0.249977111117893"/>
      </bottom>
      <diagonal/>
    </border>
    <border>
      <left style="medium">
        <color theme="4" tint="-0.249977111117893"/>
      </left>
      <right/>
      <top style="hair">
        <color theme="4" tint="-0.249977111117893"/>
      </top>
      <bottom/>
      <diagonal/>
    </border>
    <border>
      <left/>
      <right/>
      <top style="hair">
        <color theme="4" tint="-0.249977111117893"/>
      </top>
      <bottom/>
      <diagonal/>
    </border>
    <border>
      <left/>
      <right style="medium">
        <color theme="4" tint="-0.249977111117893"/>
      </right>
      <top style="hair">
        <color theme="4" tint="-0.249977111117893"/>
      </top>
      <bottom/>
      <diagonal/>
    </border>
    <border>
      <left style="medium">
        <color theme="8" tint="-0.499984740745262"/>
      </left>
      <right/>
      <top style="hair">
        <color theme="4" tint="-0.249977111117893"/>
      </top>
      <bottom style="hair">
        <color theme="4" tint="-0.499984740745262"/>
      </bottom>
      <diagonal/>
    </border>
    <border>
      <left/>
      <right/>
      <top style="hair">
        <color theme="4" tint="-0.249977111117893"/>
      </top>
      <bottom style="hair">
        <color theme="4" tint="-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499984740745262"/>
      </bottom>
      <diagonal/>
    </border>
    <border>
      <left style="hair">
        <color theme="4" tint="-0.249977111117893"/>
      </left>
      <right style="medium">
        <color theme="8" tint="-0.499984740745262"/>
      </right>
      <top style="hair">
        <color theme="4" tint="-0.249977111117893"/>
      </top>
      <bottom style="hair">
        <color theme="4" tint="-0.499984740745262"/>
      </bottom>
      <diagonal/>
    </border>
    <border>
      <left style="medium">
        <color theme="4" tint="-0.249977111117893"/>
      </left>
      <right/>
      <top/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 style="medium">
        <color theme="8" tint="-0.499984740745262"/>
      </left>
      <right/>
      <top/>
      <bottom style="hair">
        <color theme="4" tint="-0.499984740745262"/>
      </bottom>
      <diagonal/>
    </border>
    <border>
      <left/>
      <right/>
      <top/>
      <bottom style="hair">
        <color theme="4" tint="-0.499984740745262"/>
      </bottom>
      <diagonal/>
    </border>
    <border>
      <left style="hair">
        <color theme="4" tint="-0.249977111117893"/>
      </left>
      <right style="medium">
        <color theme="8" tint="-0.499984740745262"/>
      </right>
      <top/>
      <bottom style="hair">
        <color theme="4" tint="-0.499984740745262"/>
      </bottom>
      <diagonal/>
    </border>
    <border>
      <left style="medium">
        <color theme="8" tint="-0.499984740745262"/>
      </left>
      <right/>
      <top/>
      <bottom/>
      <diagonal/>
    </border>
    <border>
      <left style="hair">
        <color theme="4" tint="-0.249977111117893"/>
      </left>
      <right style="medium">
        <color theme="8" tint="-0.499984740745262"/>
      </right>
      <top/>
      <bottom style="hair">
        <color theme="4" tint="-0.249977111117893"/>
      </bottom>
      <diagonal/>
    </border>
    <border>
      <left style="medium">
        <color theme="8" tint="-0.499984740745262"/>
      </left>
      <right/>
      <top style="hair">
        <color theme="4" tint="-0.499984740745262"/>
      </top>
      <bottom style="hair">
        <color theme="4" tint="-0.249977111117893"/>
      </bottom>
      <diagonal/>
    </border>
    <border>
      <left/>
      <right/>
      <top style="hair">
        <color theme="4" tint="-0.499984740745262"/>
      </top>
      <bottom style="hair">
        <color theme="4" tint="-0.249977111117893"/>
      </bottom>
      <diagonal/>
    </border>
    <border>
      <left/>
      <right style="hair">
        <color theme="4" tint="-0.249977111117893"/>
      </right>
      <top style="hair">
        <color theme="4" tint="-0.499984740745262"/>
      </top>
      <bottom style="hair">
        <color theme="4" tint="-0.249977111117893"/>
      </bottom>
      <diagonal/>
    </border>
    <border>
      <left style="medium">
        <color theme="4" tint="-0.249977111117893"/>
      </left>
      <right/>
      <top/>
      <bottom/>
      <diagonal/>
    </border>
    <border>
      <left style="medium">
        <color theme="8" tint="-0.499984740745262"/>
      </left>
      <right/>
      <top style="hair">
        <color theme="4" tint="-0.249977111117893"/>
      </top>
      <bottom style="medium">
        <color theme="8" tint="-0.499984740745262"/>
      </bottom>
      <diagonal/>
    </border>
    <border>
      <left/>
      <right/>
      <top style="hair">
        <color theme="4" tint="-0.249977111117893"/>
      </top>
      <bottom style="medium">
        <color theme="8" tint="-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medium">
        <color theme="8" tint="-0.499984740745262"/>
      </bottom>
      <diagonal/>
    </border>
    <border>
      <left style="hair">
        <color theme="4" tint="-0.249977111117893"/>
      </left>
      <right style="medium">
        <color theme="8" tint="-0.499984740745262"/>
      </right>
      <top style="hair">
        <color theme="4" tint="-0.249977111117893"/>
      </top>
      <bottom style="medium">
        <color theme="8" tint="-0.499984740745262"/>
      </bottom>
      <diagonal/>
    </border>
    <border>
      <left style="medium">
        <color theme="4" tint="-0.249977111117893"/>
      </left>
      <right/>
      <top style="hair">
        <color theme="4" tint="-0.249977111117893"/>
      </top>
      <bottom style="hair">
        <color indexed="64"/>
      </bottom>
      <diagonal/>
    </border>
    <border>
      <left/>
      <right/>
      <top style="hair">
        <color theme="4" tint="-0.249977111117893"/>
      </top>
      <bottom style="hair">
        <color indexed="64"/>
      </bottom>
      <diagonal/>
    </border>
    <border>
      <left style="medium">
        <color theme="4" tint="-0.249977111117893"/>
      </left>
      <right/>
      <top/>
      <bottom style="medium">
        <color theme="4" tint="-0.249977111117893"/>
      </bottom>
      <diagonal/>
    </border>
    <border>
      <left/>
      <right/>
      <top/>
      <bottom style="medium">
        <color theme="4" tint="-0.249977111117893"/>
      </bottom>
      <diagonal/>
    </border>
    <border>
      <left/>
      <right/>
      <top style="hair">
        <color theme="4" tint="-0.249977111117893"/>
      </top>
      <bottom style="medium">
        <color theme="4" tint="-0.249977111117893"/>
      </bottom>
      <diagonal/>
    </border>
    <border>
      <left/>
      <right style="medium">
        <color theme="4" tint="-0.249977111117893"/>
      </right>
      <top style="hair">
        <color theme="4" tint="-0.249977111117893"/>
      </top>
      <bottom style="medium">
        <color theme="4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8" tint="-0.499984740745262"/>
      </left>
      <right/>
      <top style="hair">
        <color theme="4" tint="-0.499984740745262"/>
      </top>
      <bottom style="hair">
        <color theme="4" tint="-0.499984740745262"/>
      </bottom>
      <diagonal/>
    </border>
    <border>
      <left/>
      <right/>
      <top style="hair">
        <color theme="4" tint="-0.499984740745262"/>
      </top>
      <bottom style="hair">
        <color theme="4" tint="-0.499984740745262"/>
      </bottom>
      <diagonal/>
    </border>
    <border>
      <left/>
      <right style="hair">
        <color theme="4" tint="-0.249977111117893"/>
      </right>
      <top style="hair">
        <color theme="4" tint="-0.499984740745262"/>
      </top>
      <bottom style="hair">
        <color theme="4" tint="-0.499984740745262"/>
      </bottom>
      <diagonal/>
    </border>
    <border>
      <left style="medium">
        <color theme="8" tint="-0.499984740745262"/>
      </left>
      <right/>
      <top style="hair">
        <color theme="4" tint="-0.249977111117893"/>
      </top>
      <bottom/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 style="medium">
        <color theme="8" tint="-0.499984740745262"/>
      </right>
      <top style="hair">
        <color theme="4" tint="-0.249977111117893"/>
      </top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indexed="64"/>
      </bottom>
      <diagonal/>
    </border>
    <border>
      <left style="medium">
        <color theme="8" tint="-0.499984740745262"/>
      </left>
      <right/>
      <top style="hair">
        <color theme="4" tint="-0.249977111117893"/>
      </top>
      <bottom style="hair">
        <color indexed="64"/>
      </bottom>
      <diagonal/>
    </border>
    <border>
      <left style="hair">
        <color theme="4" tint="-0.249977111117893"/>
      </left>
      <right style="medium">
        <color theme="8" tint="-0.499984740745262"/>
      </right>
      <top style="hair">
        <color theme="4" tint="-0.249977111117893"/>
      </top>
      <bottom style="hair">
        <color indexed="64"/>
      </bottom>
      <diagonal/>
    </border>
    <border>
      <left style="hair">
        <color theme="4" tint="-0.249977111117893"/>
      </left>
      <right style="medium">
        <color theme="8" tint="-0.499984740745262"/>
      </right>
      <top style="hair">
        <color indexed="64"/>
      </top>
      <bottom style="hair">
        <color theme="4" tint="-0.249977111117893"/>
      </bottom>
      <diagonal/>
    </border>
    <border>
      <left/>
      <right style="medium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44" fontId="1" fillId="0" borderId="0" applyFont="0" applyFill="0" applyBorder="0" applyAlignment="0" applyProtection="0"/>
  </cellStyleXfs>
  <cellXfs count="397">
    <xf numFmtId="0" fontId="0" fillId="0" borderId="0" xfId="0"/>
    <xf numFmtId="0" fontId="6" fillId="4" borderId="0" xfId="0" applyFont="1" applyFill="1"/>
    <xf numFmtId="0" fontId="7" fillId="4" borderId="0" xfId="0" applyFont="1" applyFill="1"/>
    <xf numFmtId="43" fontId="0" fillId="0" borderId="0" xfId="1" applyFont="1"/>
    <xf numFmtId="0" fontId="6" fillId="0" borderId="0" xfId="0" applyFont="1"/>
    <xf numFmtId="0" fontId="8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15" fontId="10" fillId="0" borderId="0" xfId="0" applyNumberFormat="1" applyFont="1" applyAlignment="1">
      <alignment horizontal="center" vertical="center"/>
    </xf>
    <xf numFmtId="0" fontId="5" fillId="0" borderId="0" xfId="0" applyFont="1"/>
    <xf numFmtId="43" fontId="5" fillId="0" borderId="0" xfId="1" applyFont="1"/>
    <xf numFmtId="15" fontId="12" fillId="5" borderId="1" xfId="0" applyNumberFormat="1" applyFont="1" applyFill="1" applyBorder="1" applyAlignment="1">
      <alignment horizontal="center" vertical="center"/>
    </xf>
    <xf numFmtId="0" fontId="13" fillId="4" borderId="0" xfId="0" applyFont="1" applyFill="1"/>
    <xf numFmtId="0" fontId="10" fillId="4" borderId="0" xfId="0" applyFont="1" applyFill="1"/>
    <xf numFmtId="43" fontId="15" fillId="0" borderId="0" xfId="1" applyFont="1"/>
    <xf numFmtId="43" fontId="16" fillId="4" borderId="0" xfId="1" applyFont="1" applyFill="1"/>
    <xf numFmtId="43" fontId="13" fillId="4" borderId="0" xfId="1" applyFont="1" applyFill="1"/>
    <xf numFmtId="0" fontId="13" fillId="0" borderId="0" xfId="0" applyFont="1"/>
    <xf numFmtId="164" fontId="6" fillId="7" borderId="8" xfId="3" applyNumberFormat="1" applyFont="1" applyFill="1" applyBorder="1" applyAlignment="1">
      <alignment horizontal="right" wrapText="1"/>
    </xf>
    <xf numFmtId="164" fontId="18" fillId="4" borderId="0" xfId="1" applyNumberFormat="1" applyFont="1" applyFill="1"/>
    <xf numFmtId="165" fontId="15" fillId="0" borderId="0" xfId="1" applyNumberFormat="1" applyFont="1"/>
    <xf numFmtId="164" fontId="6" fillId="2" borderId="12" xfId="3" applyNumberFormat="1" applyFont="1" applyBorder="1" applyAlignment="1">
      <alignment horizontal="right" wrapText="1"/>
    </xf>
    <xf numFmtId="44" fontId="7" fillId="4" borderId="0" xfId="5" applyFont="1" applyFill="1" applyBorder="1" applyAlignment="1">
      <alignment horizontal="center"/>
    </xf>
    <xf numFmtId="43" fontId="20" fillId="0" borderId="16" xfId="1" applyFont="1" applyBorder="1"/>
    <xf numFmtId="49" fontId="21" fillId="0" borderId="17" xfId="6" applyNumberFormat="1" applyFont="1" applyBorder="1"/>
    <xf numFmtId="44" fontId="22" fillId="4" borderId="0" xfId="6" applyNumberFormat="1" applyFont="1" applyFill="1"/>
    <xf numFmtId="43" fontId="20" fillId="0" borderId="17" xfId="1" applyFont="1" applyFill="1" applyBorder="1" applyAlignment="1">
      <alignment horizontal="right"/>
    </xf>
    <xf numFmtId="49" fontId="21" fillId="0" borderId="18" xfId="6" applyNumberFormat="1" applyFont="1" applyBorder="1"/>
    <xf numFmtId="43" fontId="4" fillId="0" borderId="0" xfId="0" applyNumberFormat="1" applyFont="1"/>
    <xf numFmtId="164" fontId="6" fillId="2" borderId="12" xfId="3" applyNumberFormat="1" applyFont="1" applyBorder="1" applyAlignment="1">
      <alignment horizontal="right"/>
    </xf>
    <xf numFmtId="49" fontId="21" fillId="0" borderId="17" xfId="5" applyNumberFormat="1" applyFont="1" applyFill="1" applyBorder="1" applyAlignment="1"/>
    <xf numFmtId="44" fontId="22" fillId="4" borderId="0" xfId="5" applyFont="1" applyFill="1" applyBorder="1" applyAlignment="1"/>
    <xf numFmtId="49" fontId="21" fillId="0" borderId="18" xfId="5" applyNumberFormat="1" applyFont="1" applyFill="1" applyBorder="1" applyAlignment="1"/>
    <xf numFmtId="43" fontId="15" fillId="0" borderId="0" xfId="0" applyNumberFormat="1" applyFont="1"/>
    <xf numFmtId="43" fontId="6" fillId="0" borderId="16" xfId="1" applyFont="1" applyBorder="1"/>
    <xf numFmtId="44" fontId="22" fillId="0" borderId="17" xfId="5" applyFont="1" applyFill="1" applyBorder="1" applyAlignment="1"/>
    <xf numFmtId="164" fontId="6" fillId="2" borderId="22" xfId="3" applyNumberFormat="1" applyFont="1" applyBorder="1" applyAlignment="1">
      <alignment horizontal="right" wrapText="1"/>
    </xf>
    <xf numFmtId="43" fontId="7" fillId="4" borderId="0" xfId="1" applyFont="1" applyFill="1" applyBorder="1" applyAlignment="1">
      <alignment horizontal="center"/>
    </xf>
    <xf numFmtId="43" fontId="6" fillId="0" borderId="17" xfId="1" applyFont="1" applyFill="1" applyBorder="1"/>
    <xf numFmtId="44" fontId="22" fillId="0" borderId="18" xfId="5" applyFont="1" applyFill="1" applyBorder="1" applyAlignment="1"/>
    <xf numFmtId="44" fontId="15" fillId="0" borderId="0" xfId="2" applyFont="1"/>
    <xf numFmtId="0" fontId="17" fillId="6" borderId="25" xfId="0" applyFont="1" applyFill="1" applyBorder="1" applyAlignment="1">
      <alignment horizontal="left" vertical="center"/>
    </xf>
    <xf numFmtId="0" fontId="17" fillId="6" borderId="26" xfId="0" applyFont="1" applyFill="1" applyBorder="1" applyAlignment="1">
      <alignment horizontal="left" vertical="center"/>
    </xf>
    <xf numFmtId="4" fontId="17" fillId="6" borderId="26" xfId="0" applyNumberFormat="1" applyFont="1" applyFill="1" applyBorder="1" applyAlignment="1">
      <alignment horizontal="right" vertical="center"/>
    </xf>
    <xf numFmtId="164" fontId="6" fillId="2" borderId="27" xfId="3" applyNumberFormat="1" applyFont="1" applyBorder="1" applyAlignment="1">
      <alignment horizontal="right" wrapText="1"/>
    </xf>
    <xf numFmtId="43" fontId="20" fillId="0" borderId="16" xfId="1" applyFont="1" applyFill="1" applyBorder="1"/>
    <xf numFmtId="44" fontId="7" fillId="0" borderId="18" xfId="5" applyFont="1" applyFill="1" applyBorder="1" applyAlignment="1"/>
    <xf numFmtId="0" fontId="17" fillId="6" borderId="28" xfId="0" applyFont="1" applyFill="1" applyBorder="1" applyAlignment="1">
      <alignment horizontal="left" vertical="center"/>
    </xf>
    <xf numFmtId="0" fontId="17" fillId="6" borderId="0" xfId="0" applyFont="1" applyFill="1" applyAlignment="1">
      <alignment horizontal="left" vertical="center"/>
    </xf>
    <xf numFmtId="4" fontId="17" fillId="6" borderId="0" xfId="0" applyNumberFormat="1" applyFont="1" applyFill="1" applyAlignment="1">
      <alignment horizontal="right" vertical="center"/>
    </xf>
    <xf numFmtId="164" fontId="6" fillId="2" borderId="29" xfId="3" applyNumberFormat="1" applyFont="1" applyBorder="1" applyAlignment="1">
      <alignment horizontal="right" wrapText="1"/>
    </xf>
    <xf numFmtId="43" fontId="6" fillId="0" borderId="17" xfId="1" applyFont="1" applyBorder="1" applyAlignment="1">
      <alignment horizontal="right"/>
    </xf>
    <xf numFmtId="4" fontId="6" fillId="0" borderId="16" xfId="0" applyNumberFormat="1" applyFont="1" applyBorder="1"/>
    <xf numFmtId="0" fontId="6" fillId="0" borderId="17" xfId="0" applyFont="1" applyBorder="1"/>
    <xf numFmtId="0" fontId="6" fillId="0" borderId="18" xfId="0" applyFont="1" applyBorder="1"/>
    <xf numFmtId="0" fontId="23" fillId="0" borderId="33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3" fillId="4" borderId="0" xfId="0" applyFont="1" applyFill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15" xfId="0" applyFont="1" applyBorder="1" applyAlignment="1">
      <alignment horizontal="center"/>
    </xf>
    <xf numFmtId="43" fontId="7" fillId="4" borderId="0" xfId="1" applyFont="1" applyFill="1" applyBorder="1" applyAlignment="1">
      <alignment horizontal="center" vertical="center"/>
    </xf>
    <xf numFmtId="43" fontId="18" fillId="0" borderId="17" xfId="1" applyFont="1" applyBorder="1"/>
    <xf numFmtId="0" fontId="15" fillId="0" borderId="0" xfId="0" applyFont="1"/>
    <xf numFmtId="49" fontId="21" fillId="0" borderId="17" xfId="0" applyNumberFormat="1" applyFont="1" applyBorder="1"/>
    <xf numFmtId="0" fontId="24" fillId="4" borderId="0" xfId="0" applyFont="1" applyFill="1"/>
    <xf numFmtId="43" fontId="16" fillId="0" borderId="17" xfId="1" applyFont="1" applyBorder="1"/>
    <xf numFmtId="0" fontId="16" fillId="0" borderId="18" xfId="6" applyFont="1" applyBorder="1"/>
    <xf numFmtId="164" fontId="6" fillId="2" borderId="37" xfId="3" applyNumberFormat="1" applyFont="1" applyBorder="1" applyAlignment="1">
      <alignment horizontal="right" wrapText="1"/>
    </xf>
    <xf numFmtId="43" fontId="20" fillId="0" borderId="38" xfId="1" applyFont="1" applyBorder="1"/>
    <xf numFmtId="49" fontId="21" fillId="0" borderId="39" xfId="1" applyNumberFormat="1" applyFont="1" applyBorder="1"/>
    <xf numFmtId="0" fontId="23" fillId="6" borderId="0" xfId="0" applyFont="1" applyFill="1" applyAlignment="1">
      <alignment horizontal="left" vertical="center"/>
    </xf>
    <xf numFmtId="43" fontId="18" fillId="0" borderId="0" xfId="1" applyFont="1" applyFill="1"/>
    <xf numFmtId="43" fontId="20" fillId="0" borderId="40" xfId="1" applyFont="1" applyBorder="1"/>
    <xf numFmtId="49" fontId="21" fillId="0" borderId="41" xfId="1" applyNumberFormat="1" applyFont="1" applyBorder="1"/>
    <xf numFmtId="43" fontId="24" fillId="4" borderId="41" xfId="1" applyFont="1" applyFill="1" applyBorder="1"/>
    <xf numFmtId="43" fontId="16" fillId="0" borderId="42" xfId="1" applyFont="1" applyBorder="1"/>
    <xf numFmtId="0" fontId="16" fillId="0" borderId="43" xfId="0" applyFont="1" applyBorder="1"/>
    <xf numFmtId="43" fontId="6" fillId="4" borderId="0" xfId="1" applyFont="1" applyFill="1"/>
    <xf numFmtId="0" fontId="25" fillId="0" borderId="0" xfId="0" applyFont="1"/>
    <xf numFmtId="43" fontId="26" fillId="4" borderId="0" xfId="1" applyFont="1" applyFill="1" applyBorder="1" applyAlignment="1">
      <alignment horizontal="center" vertical="center"/>
    </xf>
    <xf numFmtId="0" fontId="3" fillId="0" borderId="0" xfId="0" applyFont="1"/>
    <xf numFmtId="44" fontId="5" fillId="4" borderId="0" xfId="2" applyFont="1" applyFill="1"/>
    <xf numFmtId="43" fontId="5" fillId="4" borderId="0" xfId="1" applyFont="1" applyFill="1"/>
    <xf numFmtId="0" fontId="5" fillId="4" borderId="0" xfId="0" applyFont="1" applyFill="1"/>
    <xf numFmtId="0" fontId="15" fillId="4" borderId="0" xfId="0" applyFont="1" applyFill="1"/>
    <xf numFmtId="0" fontId="16" fillId="4" borderId="0" xfId="0" applyFont="1" applyFill="1"/>
    <xf numFmtId="43" fontId="26" fillId="4" borderId="0" xfId="1" applyFont="1" applyFill="1" applyBorder="1" applyAlignment="1">
      <alignment horizontal="right"/>
    </xf>
    <xf numFmtId="44" fontId="2" fillId="4" borderId="0" xfId="2" applyFont="1" applyFill="1" applyBorder="1" applyAlignment="1">
      <alignment horizontal="center" vertical="center"/>
    </xf>
    <xf numFmtId="0" fontId="15" fillId="4" borderId="0" xfId="1" applyNumberFormat="1" applyFont="1" applyFill="1" applyBorder="1"/>
    <xf numFmtId="44" fontId="26" fillId="4" borderId="0" xfId="2" applyFont="1" applyFill="1" applyBorder="1" applyAlignment="1">
      <alignment horizontal="center" vertical="center"/>
    </xf>
    <xf numFmtId="0" fontId="15" fillId="4" borderId="0" xfId="0" applyFont="1" applyFill="1" applyAlignment="1">
      <alignment horizontal="left"/>
    </xf>
    <xf numFmtId="0" fontId="15" fillId="4" borderId="0" xfId="1" applyNumberFormat="1" applyFont="1" applyFill="1" applyBorder="1" applyAlignment="1">
      <alignment horizontal="left"/>
    </xf>
    <xf numFmtId="0" fontId="15" fillId="4" borderId="0" xfId="0" applyFont="1" applyFill="1" applyAlignment="1">
      <alignment vertical="center"/>
    </xf>
    <xf numFmtId="44" fontId="26" fillId="4" borderId="0" xfId="2" applyFont="1" applyFill="1" applyBorder="1" applyAlignment="1">
      <alignment horizontal="center"/>
    </xf>
    <xf numFmtId="44" fontId="15" fillId="4" borderId="0" xfId="2" applyFont="1" applyFill="1" applyBorder="1" applyAlignment="1">
      <alignment horizontal="center"/>
    </xf>
    <xf numFmtId="44" fontId="5" fillId="4" borderId="0" xfId="2" applyFont="1" applyFill="1" applyBorder="1" applyAlignment="1">
      <alignment horizontal="center"/>
    </xf>
    <xf numFmtId="44" fontId="15" fillId="4" borderId="0" xfId="2" applyFont="1" applyFill="1" applyBorder="1"/>
    <xf numFmtId="0" fontId="26" fillId="4" borderId="0" xfId="0" applyFont="1" applyFill="1" applyAlignment="1">
      <alignment horizontal="right"/>
    </xf>
    <xf numFmtId="44" fontId="26" fillId="4" borderId="0" xfId="2" applyFont="1" applyFill="1" applyBorder="1"/>
    <xf numFmtId="43" fontId="15" fillId="4" borderId="0" xfId="1" applyFont="1" applyFill="1"/>
    <xf numFmtId="44" fontId="26" fillId="4" borderId="0" xfId="2" applyFont="1" applyFill="1"/>
    <xf numFmtId="44" fontId="26" fillId="4" borderId="0" xfId="0" applyNumberFormat="1" applyFont="1" applyFill="1"/>
    <xf numFmtId="43" fontId="7" fillId="0" borderId="0" xfId="1" applyFont="1" applyFill="1"/>
    <xf numFmtId="43" fontId="18" fillId="4" borderId="0" xfId="1" applyFont="1" applyFill="1" applyAlignment="1">
      <alignment horizontal="right"/>
    </xf>
    <xf numFmtId="164" fontId="18" fillId="4" borderId="0" xfId="1" applyNumberFormat="1" applyFont="1" applyFill="1" applyAlignment="1">
      <alignment horizontal="right"/>
    </xf>
    <xf numFmtId="43" fontId="18" fillId="4" borderId="0" xfId="1" applyFont="1" applyFill="1"/>
    <xf numFmtId="44" fontId="15" fillId="0" borderId="0" xfId="0" applyNumberFormat="1" applyFont="1"/>
    <xf numFmtId="44" fontId="18" fillId="4" borderId="0" xfId="0" applyNumberFormat="1" applyFont="1" applyFill="1"/>
    <xf numFmtId="164" fontId="16" fillId="4" borderId="0" xfId="1" applyNumberFormat="1" applyFont="1" applyFill="1"/>
    <xf numFmtId="43" fontId="16" fillId="4" borderId="0" xfId="1" applyFont="1" applyFill="1" applyAlignment="1">
      <alignment horizontal="right"/>
    </xf>
    <xf numFmtId="164" fontId="16" fillId="4" borderId="0" xfId="1" applyNumberFormat="1" applyFont="1" applyFill="1" applyAlignment="1">
      <alignment horizontal="right"/>
    </xf>
    <xf numFmtId="43" fontId="2" fillId="4" borderId="0" xfId="1" applyFont="1" applyFill="1" applyBorder="1" applyAlignment="1">
      <alignment horizontal="center" vertical="center"/>
    </xf>
    <xf numFmtId="44" fontId="2" fillId="4" borderId="0" xfId="2" applyFont="1" applyFill="1" applyBorder="1" applyAlignment="1">
      <alignment horizontal="center"/>
    </xf>
    <xf numFmtId="43" fontId="2" fillId="4" borderId="0" xfId="1" applyFont="1" applyFill="1" applyBorder="1" applyAlignment="1">
      <alignment horizontal="right"/>
    </xf>
    <xf numFmtId="0" fontId="5" fillId="4" borderId="0" xfId="1" applyNumberFormat="1" applyFont="1" applyFill="1" applyBorder="1"/>
    <xf numFmtId="0" fontId="5" fillId="4" borderId="0" xfId="0" applyFont="1" applyFill="1" applyAlignment="1">
      <alignment horizontal="left"/>
    </xf>
    <xf numFmtId="0" fontId="5" fillId="4" borderId="0" xfId="1" applyNumberFormat="1" applyFont="1" applyFill="1" applyBorder="1" applyAlignment="1">
      <alignment horizontal="left"/>
    </xf>
    <xf numFmtId="0" fontId="5" fillId="4" borderId="0" xfId="0" applyFont="1" applyFill="1" applyAlignment="1">
      <alignment vertical="center"/>
    </xf>
    <xf numFmtId="44" fontId="5" fillId="4" borderId="0" xfId="2" applyFont="1" applyFill="1" applyBorder="1"/>
    <xf numFmtId="0" fontId="2" fillId="4" borderId="0" xfId="0" applyFont="1" applyFill="1" applyAlignment="1">
      <alignment horizontal="right"/>
    </xf>
    <xf numFmtId="44" fontId="2" fillId="4" borderId="0" xfId="2" applyFont="1" applyFill="1" applyBorder="1"/>
    <xf numFmtId="44" fontId="2" fillId="4" borderId="0" xfId="2" applyFont="1" applyFill="1"/>
    <xf numFmtId="44" fontId="2" fillId="4" borderId="0" xfId="0" applyNumberFormat="1" applyFont="1" applyFill="1"/>
    <xf numFmtId="0" fontId="17" fillId="6" borderId="26" xfId="0" applyFont="1" applyFill="1" applyBorder="1" applyAlignment="1">
      <alignment horizontal="right" vertical="center"/>
    </xf>
    <xf numFmtId="43" fontId="7" fillId="4" borderId="0" xfId="1" applyFont="1" applyFill="1"/>
    <xf numFmtId="43" fontId="5" fillId="0" borderId="0" xfId="0" applyNumberFormat="1" applyFont="1"/>
    <xf numFmtId="43" fontId="7" fillId="4" borderId="0" xfId="1" applyFont="1" applyFill="1" applyAlignment="1">
      <alignment horizontal="right"/>
    </xf>
    <xf numFmtId="164" fontId="7" fillId="4" borderId="0" xfId="1" applyNumberFormat="1" applyFont="1" applyFill="1" applyAlignment="1">
      <alignment horizontal="right"/>
    </xf>
    <xf numFmtId="43" fontId="3" fillId="0" borderId="0" xfId="0" applyNumberFormat="1" applyFont="1"/>
    <xf numFmtId="43" fontId="29" fillId="4" borderId="0" xfId="1" applyFont="1" applyFill="1" applyBorder="1" applyAlignment="1">
      <alignment horizontal="center" vertical="center"/>
    </xf>
    <xf numFmtId="0" fontId="3" fillId="4" borderId="0" xfId="0" applyFont="1" applyFill="1"/>
    <xf numFmtId="44" fontId="29" fillId="4" borderId="0" xfId="2" applyFont="1" applyFill="1" applyBorder="1" applyAlignment="1">
      <alignment horizontal="center" vertical="center"/>
    </xf>
    <xf numFmtId="43" fontId="29" fillId="4" borderId="0" xfId="1" applyFont="1" applyFill="1" applyBorder="1" applyAlignment="1">
      <alignment horizontal="right"/>
    </xf>
    <xf numFmtId="44" fontId="29" fillId="4" borderId="0" xfId="2" applyFont="1" applyFill="1" applyBorder="1" applyAlignment="1">
      <alignment horizontal="center"/>
    </xf>
    <xf numFmtId="0" fontId="3" fillId="4" borderId="0" xfId="1" applyNumberFormat="1" applyFont="1" applyFill="1" applyBorder="1"/>
    <xf numFmtId="44" fontId="3" fillId="4" borderId="0" xfId="2" applyFont="1" applyFill="1" applyBorder="1" applyAlignment="1">
      <alignment horizontal="center"/>
    </xf>
    <xf numFmtId="0" fontId="3" fillId="4" borderId="0" xfId="0" applyFont="1" applyFill="1" applyAlignment="1">
      <alignment horizontal="left"/>
    </xf>
    <xf numFmtId="0" fontId="3" fillId="4" borderId="0" xfId="1" applyNumberFormat="1" applyFont="1" applyFill="1" applyBorder="1" applyAlignment="1">
      <alignment horizontal="left"/>
    </xf>
    <xf numFmtId="0" fontId="3" fillId="4" borderId="0" xfId="0" applyFont="1" applyFill="1" applyAlignment="1">
      <alignment vertical="center"/>
    </xf>
    <xf numFmtId="44" fontId="3" fillId="4" borderId="0" xfId="2" applyFont="1" applyFill="1" applyBorder="1"/>
    <xf numFmtId="0" fontId="29" fillId="4" borderId="0" xfId="0" applyFont="1" applyFill="1" applyAlignment="1">
      <alignment horizontal="right"/>
    </xf>
    <xf numFmtId="44" fontId="29" fillId="4" borderId="0" xfId="2" applyFont="1" applyFill="1" applyBorder="1"/>
    <xf numFmtId="43" fontId="3" fillId="4" borderId="0" xfId="1" applyFont="1" applyFill="1"/>
    <xf numFmtId="44" fontId="29" fillId="4" borderId="0" xfId="2" applyFont="1" applyFill="1"/>
    <xf numFmtId="164" fontId="7" fillId="4" borderId="0" xfId="1" applyNumberFormat="1" applyFont="1" applyFill="1"/>
    <xf numFmtId="44" fontId="7" fillId="4" borderId="0" xfId="2" applyFont="1" applyFill="1"/>
    <xf numFmtId="44" fontId="10" fillId="0" borderId="0" xfId="2" applyFont="1" applyAlignment="1">
      <alignment horizontal="center" vertical="center"/>
    </xf>
    <xf numFmtId="44" fontId="10" fillId="4" borderId="0" xfId="2" applyFont="1" applyFill="1"/>
    <xf numFmtId="44" fontId="3" fillId="0" borderId="0" xfId="2" applyFont="1"/>
    <xf numFmtId="44" fontId="16" fillId="4" borderId="0" xfId="2" applyFont="1" applyFill="1"/>
    <xf numFmtId="44" fontId="18" fillId="4" borderId="0" xfId="2" applyFont="1" applyFill="1"/>
    <xf numFmtId="44" fontId="18" fillId="4" borderId="0" xfId="2" applyFont="1" applyFill="1" applyAlignment="1">
      <alignment horizontal="right"/>
    </xf>
    <xf numFmtId="44" fontId="15" fillId="4" borderId="0" xfId="2" applyFont="1" applyFill="1"/>
    <xf numFmtId="43" fontId="0" fillId="0" borderId="0" xfId="0" applyNumberFormat="1"/>
    <xf numFmtId="44" fontId="16" fillId="4" borderId="0" xfId="2" applyFont="1" applyFill="1" applyAlignment="1">
      <alignment horizontal="right"/>
    </xf>
    <xf numFmtId="44" fontId="5" fillId="0" borderId="0" xfId="2" applyFont="1"/>
    <xf numFmtId="8" fontId="0" fillId="0" borderId="0" xfId="0" applyNumberFormat="1"/>
    <xf numFmtId="4" fontId="31" fillId="0" borderId="0" xfId="0" applyNumberFormat="1" applyFont="1"/>
    <xf numFmtId="164" fontId="15" fillId="4" borderId="0" xfId="2" applyNumberFormat="1" applyFont="1" applyFill="1" applyBorder="1"/>
    <xf numFmtId="164" fontId="16" fillId="4" borderId="0" xfId="2" applyNumberFormat="1" applyFont="1" applyFill="1"/>
    <xf numFmtId="164" fontId="18" fillId="4" borderId="0" xfId="2" applyNumberFormat="1" applyFont="1" applyFill="1"/>
    <xf numFmtId="44" fontId="15" fillId="0" borderId="0" xfId="2" applyFont="1" applyFill="1"/>
    <xf numFmtId="43" fontId="26" fillId="0" borderId="0" xfId="1" applyFont="1" applyFill="1" applyBorder="1" applyAlignment="1">
      <alignment horizontal="center" vertical="center"/>
    </xf>
    <xf numFmtId="44" fontId="26" fillId="0" borderId="0" xfId="2" applyFont="1" applyFill="1" applyBorder="1" applyAlignment="1">
      <alignment horizontal="center" vertical="center"/>
    </xf>
    <xf numFmtId="43" fontId="26" fillId="0" borderId="0" xfId="1" applyFont="1" applyFill="1" applyBorder="1" applyAlignment="1">
      <alignment horizontal="right"/>
    </xf>
    <xf numFmtId="44" fontId="26" fillId="0" borderId="0" xfId="2" applyFont="1" applyFill="1" applyBorder="1" applyAlignment="1">
      <alignment horizontal="center"/>
    </xf>
    <xf numFmtId="0" fontId="15" fillId="0" borderId="0" xfId="1" applyNumberFormat="1" applyFont="1" applyFill="1" applyBorder="1"/>
    <xf numFmtId="44" fontId="15" fillId="0" borderId="0" xfId="2" applyFont="1" applyFill="1" applyBorder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 applyAlignment="1">
      <alignment vertical="center"/>
    </xf>
    <xf numFmtId="44" fontId="15" fillId="0" borderId="0" xfId="2" applyFont="1" applyFill="1" applyBorder="1"/>
    <xf numFmtId="0" fontId="26" fillId="0" borderId="0" xfId="0" applyFont="1" applyAlignment="1">
      <alignment horizontal="right"/>
    </xf>
    <xf numFmtId="44" fontId="26" fillId="0" borderId="0" xfId="2" applyFont="1" applyFill="1" applyBorder="1"/>
    <xf numFmtId="44" fontId="26" fillId="0" borderId="0" xfId="2" applyFont="1" applyFill="1"/>
    <xf numFmtId="44" fontId="5" fillId="0" borderId="0" xfId="2" applyFont="1" applyFill="1"/>
    <xf numFmtId="44" fontId="5" fillId="0" borderId="0" xfId="2" applyFont="1" applyFill="1" applyBorder="1" applyAlignment="1">
      <alignment horizontal="center"/>
    </xf>
    <xf numFmtId="44" fontId="5" fillId="0" borderId="0" xfId="2" applyFont="1" applyFill="1" applyBorder="1"/>
    <xf numFmtId="44" fontId="2" fillId="0" borderId="0" xfId="2" applyFont="1" applyFill="1"/>
    <xf numFmtId="0" fontId="2" fillId="0" borderId="0" xfId="0" applyFont="1" applyAlignment="1">
      <alignment horizontal="right"/>
    </xf>
    <xf numFmtId="44" fontId="2" fillId="0" borderId="0" xfId="2" applyFont="1" applyFill="1" applyBorder="1" applyAlignment="1">
      <alignment horizontal="center" vertical="center"/>
    </xf>
    <xf numFmtId="44" fontId="2" fillId="0" borderId="0" xfId="2" applyFont="1" applyFill="1" applyBorder="1" applyAlignment="1">
      <alignment horizontal="center"/>
    </xf>
    <xf numFmtId="44" fontId="2" fillId="0" borderId="0" xfId="2" applyFont="1" applyFill="1" applyBorder="1"/>
    <xf numFmtId="43" fontId="2" fillId="0" borderId="0" xfId="1" applyFont="1" applyFill="1" applyBorder="1" applyAlignment="1">
      <alignment horizontal="center" vertical="center"/>
    </xf>
    <xf numFmtId="43" fontId="2" fillId="0" borderId="0" xfId="1" applyFont="1" applyFill="1" applyBorder="1" applyAlignment="1">
      <alignment horizontal="right"/>
    </xf>
    <xf numFmtId="0" fontId="5" fillId="0" borderId="0" xfId="1" applyNumberFormat="1" applyFont="1" applyFill="1" applyBorder="1"/>
    <xf numFmtId="0" fontId="5" fillId="0" borderId="0" xfId="0" applyFont="1" applyAlignment="1">
      <alignment horizontal="left"/>
    </xf>
    <xf numFmtId="0" fontId="5" fillId="0" borderId="0" xfId="0" applyFont="1" applyAlignment="1">
      <alignment vertical="center"/>
    </xf>
    <xf numFmtId="44" fontId="32" fillId="4" borderId="0" xfId="2" applyFont="1" applyFill="1"/>
    <xf numFmtId="0" fontId="17" fillId="6" borderId="49" xfId="0" applyFont="1" applyFill="1" applyBorder="1" applyAlignment="1">
      <alignment horizontal="left" vertical="center"/>
    </xf>
    <xf numFmtId="0" fontId="17" fillId="6" borderId="17" xfId="0" applyFont="1" applyFill="1" applyBorder="1" applyAlignment="1">
      <alignment horizontal="left" vertical="center"/>
    </xf>
    <xf numFmtId="0" fontId="17" fillId="6" borderId="50" xfId="0" applyFont="1" applyFill="1" applyBorder="1" applyAlignment="1">
      <alignment horizontal="left" vertical="center"/>
    </xf>
    <xf numFmtId="164" fontId="6" fillId="2" borderId="51" xfId="3" applyNumberFormat="1" applyFont="1" applyBorder="1" applyAlignment="1">
      <alignment horizontal="right" wrapText="1"/>
    </xf>
    <xf numFmtId="0" fontId="17" fillId="6" borderId="21" xfId="0" applyFont="1" applyFill="1" applyBorder="1" applyAlignment="1">
      <alignment horizontal="right" vertical="center"/>
    </xf>
    <xf numFmtId="0" fontId="17" fillId="6" borderId="25" xfId="0" applyFont="1" applyFill="1" applyBorder="1" applyAlignment="1">
      <alignment horizontal="right" vertical="center"/>
    </xf>
    <xf numFmtId="0" fontId="17" fillId="6" borderId="19" xfId="0" applyFont="1" applyFill="1" applyBorder="1" applyAlignment="1">
      <alignment vertical="center"/>
    </xf>
    <xf numFmtId="0" fontId="17" fillId="6" borderId="20" xfId="0" applyFont="1" applyFill="1" applyBorder="1" applyAlignment="1">
      <alignment vertical="center"/>
    </xf>
    <xf numFmtId="0" fontId="17" fillId="6" borderId="46" xfId="0" applyFont="1" applyFill="1" applyBorder="1" applyAlignment="1">
      <alignment vertical="center"/>
    </xf>
    <xf numFmtId="0" fontId="17" fillId="6" borderId="47" xfId="0" applyFont="1" applyFill="1" applyBorder="1" applyAlignment="1">
      <alignment vertical="center"/>
    </xf>
    <xf numFmtId="44" fontId="26" fillId="0" borderId="0" xfId="2" applyFont="1" applyFill="1" applyBorder="1" applyAlignment="1">
      <alignment horizontal="right" vertical="center"/>
    </xf>
    <xf numFmtId="0" fontId="17" fillId="6" borderId="50" xfId="0" applyFont="1" applyFill="1" applyBorder="1" applyAlignment="1">
      <alignment horizontal="right" vertical="center"/>
    </xf>
    <xf numFmtId="0" fontId="17" fillId="6" borderId="9" xfId="0" applyFont="1" applyFill="1" applyBorder="1" applyAlignment="1">
      <alignment horizontal="left" vertical="center"/>
    </xf>
    <xf numFmtId="0" fontId="17" fillId="6" borderId="10" xfId="0" applyFont="1" applyFill="1" applyBorder="1" applyAlignment="1">
      <alignment horizontal="left" vertical="center"/>
    </xf>
    <xf numFmtId="0" fontId="17" fillId="6" borderId="11" xfId="0" applyFont="1" applyFill="1" applyBorder="1" applyAlignment="1">
      <alignment horizontal="left" vertical="center"/>
    </xf>
    <xf numFmtId="0" fontId="17" fillId="6" borderId="30" xfId="0" applyFont="1" applyFill="1" applyBorder="1" applyAlignment="1">
      <alignment horizontal="left" vertical="center"/>
    </xf>
    <xf numFmtId="0" fontId="17" fillId="6" borderId="31" xfId="0" applyFont="1" applyFill="1" applyBorder="1" applyAlignment="1">
      <alignment horizontal="left" vertical="center"/>
    </xf>
    <xf numFmtId="0" fontId="17" fillId="6" borderId="32" xfId="0" applyFont="1" applyFill="1" applyBorder="1" applyAlignment="1">
      <alignment horizontal="left" vertical="center"/>
    </xf>
    <xf numFmtId="0" fontId="17" fillId="6" borderId="39" xfId="0" applyFont="1" applyFill="1" applyBorder="1" applyAlignment="1">
      <alignment horizontal="left" vertical="center"/>
    </xf>
    <xf numFmtId="0" fontId="17" fillId="6" borderId="53" xfId="0" applyFont="1" applyFill="1" applyBorder="1" applyAlignment="1">
      <alignment horizontal="left" vertical="center"/>
    </xf>
    <xf numFmtId="164" fontId="6" fillId="2" borderId="54" xfId="3" applyNumberFormat="1" applyFont="1" applyBorder="1" applyAlignment="1">
      <alignment horizontal="right" wrapText="1"/>
    </xf>
    <xf numFmtId="0" fontId="17" fillId="6" borderId="52" xfId="0" applyFont="1" applyFill="1" applyBorder="1" applyAlignment="1">
      <alignment horizontal="right" vertical="center"/>
    </xf>
    <xf numFmtId="43" fontId="8" fillId="0" borderId="0" xfId="1" applyFont="1" applyAlignment="1">
      <alignment vertical="center"/>
    </xf>
    <xf numFmtId="43" fontId="6" fillId="0" borderId="17" xfId="1" applyFont="1" applyBorder="1"/>
    <xf numFmtId="43" fontId="23" fillId="0" borderId="14" xfId="1" applyFont="1" applyBorder="1" applyAlignment="1">
      <alignment horizontal="center"/>
    </xf>
    <xf numFmtId="43" fontId="26" fillId="0" borderId="0" xfId="1" applyFont="1" applyFill="1" applyBorder="1" applyAlignment="1">
      <alignment horizontal="center"/>
    </xf>
    <xf numFmtId="164" fontId="2" fillId="0" borderId="0" xfId="2" applyNumberFormat="1" applyFont="1" applyFill="1" applyBorder="1" applyAlignment="1">
      <alignment horizontal="right" vertical="center"/>
    </xf>
    <xf numFmtId="164" fontId="26" fillId="0" borderId="0" xfId="2" applyNumberFormat="1" applyFont="1" applyFill="1" applyBorder="1" applyAlignment="1">
      <alignment horizontal="right" vertical="center"/>
    </xf>
    <xf numFmtId="44" fontId="7" fillId="4" borderId="0" xfId="2" applyFont="1" applyFill="1" applyAlignment="1">
      <alignment horizontal="right"/>
    </xf>
    <xf numFmtId="44" fontId="10" fillId="0" borderId="0" xfId="2" applyFont="1" applyAlignment="1">
      <alignment horizontal="right" vertical="center"/>
    </xf>
    <xf numFmtId="44" fontId="32" fillId="4" borderId="0" xfId="2" applyFont="1" applyFill="1" applyAlignment="1">
      <alignment horizontal="right"/>
    </xf>
    <xf numFmtId="44" fontId="3" fillId="0" borderId="0" xfId="2" applyFont="1" applyAlignment="1">
      <alignment horizontal="right"/>
    </xf>
    <xf numFmtId="44" fontId="15" fillId="0" borderId="0" xfId="2" applyFont="1" applyAlignment="1">
      <alignment horizontal="right"/>
    </xf>
    <xf numFmtId="44" fontId="5" fillId="0" borderId="0" xfId="2" applyFont="1" applyAlignment="1">
      <alignment horizontal="right"/>
    </xf>
    <xf numFmtId="44" fontId="5" fillId="4" borderId="0" xfId="2" applyFont="1" applyFill="1" applyAlignment="1">
      <alignment horizontal="right"/>
    </xf>
    <xf numFmtId="44" fontId="2" fillId="0" borderId="0" xfId="2" applyFont="1" applyFill="1" applyBorder="1" applyAlignment="1">
      <alignment horizontal="right" vertical="center"/>
    </xf>
    <xf numFmtId="44" fontId="2" fillId="0" borderId="0" xfId="2" applyFont="1" applyFill="1" applyBorder="1" applyAlignment="1">
      <alignment horizontal="right"/>
    </xf>
    <xf numFmtId="44" fontId="5" fillId="0" borderId="0" xfId="2" applyFont="1" applyFill="1" applyBorder="1" applyAlignment="1">
      <alignment horizontal="right"/>
    </xf>
    <xf numFmtId="44" fontId="2" fillId="4" borderId="0" xfId="2" applyFont="1" applyFill="1" applyBorder="1" applyAlignment="1">
      <alignment horizontal="right"/>
    </xf>
    <xf numFmtId="44" fontId="5" fillId="4" borderId="0" xfId="2" applyFont="1" applyFill="1" applyBorder="1" applyAlignment="1">
      <alignment horizontal="right"/>
    </xf>
    <xf numFmtId="44" fontId="2" fillId="4" borderId="0" xfId="2" applyFont="1" applyFill="1" applyAlignment="1">
      <alignment horizontal="right"/>
    </xf>
    <xf numFmtId="44" fontId="15" fillId="4" borderId="0" xfId="2" applyFont="1" applyFill="1" applyAlignment="1">
      <alignment horizontal="right"/>
    </xf>
    <xf numFmtId="44" fontId="26" fillId="0" borderId="0" xfId="2" applyFont="1" applyFill="1" applyBorder="1" applyAlignment="1">
      <alignment horizontal="right"/>
    </xf>
    <xf numFmtId="44" fontId="15" fillId="0" borderId="0" xfId="2" applyFont="1" applyFill="1" applyBorder="1" applyAlignment="1">
      <alignment horizontal="right"/>
    </xf>
    <xf numFmtId="44" fontId="26" fillId="4" borderId="0" xfId="2" applyFont="1" applyFill="1" applyBorder="1" applyAlignment="1">
      <alignment horizontal="right"/>
    </xf>
    <xf numFmtId="44" fontId="15" fillId="4" borderId="0" xfId="2" applyFont="1" applyFill="1" applyBorder="1" applyAlignment="1">
      <alignment horizontal="right"/>
    </xf>
    <xf numFmtId="44" fontId="26" fillId="4" borderId="0" xfId="2" applyFont="1" applyFill="1" applyAlignment="1">
      <alignment horizontal="right"/>
    </xf>
    <xf numFmtId="164" fontId="6" fillId="2" borderId="55" xfId="3" applyNumberFormat="1" applyFont="1" applyBorder="1" applyAlignment="1">
      <alignment horizontal="right" wrapText="1"/>
    </xf>
    <xf numFmtId="4" fontId="0" fillId="0" borderId="0" xfId="0" applyNumberFormat="1"/>
    <xf numFmtId="0" fontId="17" fillId="12" borderId="9" xfId="0" applyFont="1" applyFill="1" applyBorder="1" applyAlignment="1">
      <alignment horizontal="left" vertical="center"/>
    </xf>
    <xf numFmtId="0" fontId="17" fillId="12" borderId="10" xfId="0" applyFont="1" applyFill="1" applyBorder="1" applyAlignment="1">
      <alignment horizontal="left" vertical="center"/>
    </xf>
    <xf numFmtId="0" fontId="17" fillId="12" borderId="11" xfId="0" applyFont="1" applyFill="1" applyBorder="1" applyAlignment="1">
      <alignment horizontal="left" vertical="center"/>
    </xf>
    <xf numFmtId="43" fontId="6" fillId="0" borderId="33" xfId="1" applyFont="1" applyBorder="1"/>
    <xf numFmtId="44" fontId="22" fillId="0" borderId="0" xfId="5" applyFont="1" applyFill="1" applyBorder="1" applyAlignment="1"/>
    <xf numFmtId="43" fontId="23" fillId="12" borderId="10" xfId="1" applyFont="1" applyFill="1" applyBorder="1" applyAlignment="1">
      <alignment horizontal="center"/>
    </xf>
    <xf numFmtId="43" fontId="18" fillId="12" borderId="56" xfId="1" applyFont="1" applyFill="1" applyBorder="1" applyAlignment="1">
      <alignment horizontal="center"/>
    </xf>
    <xf numFmtId="0" fontId="26" fillId="0" borderId="0" xfId="0" applyFont="1" applyAlignment="1">
      <alignment horizontal="center"/>
    </xf>
    <xf numFmtId="44" fontId="26" fillId="0" borderId="0" xfId="2" applyFont="1" applyBorder="1" applyAlignment="1">
      <alignment horizontal="center"/>
    </xf>
    <xf numFmtId="43" fontId="15" fillId="0" borderId="0" xfId="1" applyFont="1" applyBorder="1"/>
    <xf numFmtId="44" fontId="15" fillId="0" borderId="0" xfId="2" applyFont="1" applyBorder="1" applyAlignment="1">
      <alignment horizontal="right"/>
    </xf>
    <xf numFmtId="0" fontId="2" fillId="0" borderId="0" xfId="0" applyFont="1" applyAlignment="1">
      <alignment horizontal="center"/>
    </xf>
    <xf numFmtId="44" fontId="2" fillId="0" borderId="0" xfId="2" applyFont="1" applyBorder="1" applyAlignment="1">
      <alignment horizontal="center"/>
    </xf>
    <xf numFmtId="43" fontId="5" fillId="0" borderId="0" xfId="1" applyFont="1" applyBorder="1"/>
    <xf numFmtId="44" fontId="5" fillId="0" borderId="0" xfId="2" applyFont="1" applyBorder="1" applyAlignment="1">
      <alignment horizontal="right"/>
    </xf>
    <xf numFmtId="44" fontId="3" fillId="4" borderId="0" xfId="2" applyFont="1" applyFill="1" applyAlignment="1">
      <alignment horizontal="right"/>
    </xf>
    <xf numFmtId="43" fontId="29" fillId="0" borderId="0" xfId="1" applyFont="1" applyFill="1" applyBorder="1" applyAlignment="1">
      <alignment horizontal="center" vertical="center"/>
    </xf>
    <xf numFmtId="44" fontId="29" fillId="0" borderId="0" xfId="2" applyFont="1" applyFill="1" applyBorder="1" applyAlignment="1">
      <alignment horizontal="right" vertical="center"/>
    </xf>
    <xf numFmtId="164" fontId="29" fillId="0" borderId="0" xfId="2" applyNumberFormat="1" applyFont="1" applyFill="1" applyBorder="1" applyAlignment="1">
      <alignment horizontal="right" vertical="center"/>
    </xf>
    <xf numFmtId="43" fontId="29" fillId="0" borderId="0" xfId="1" applyFont="1" applyFill="1" applyBorder="1" applyAlignment="1">
      <alignment horizontal="right"/>
    </xf>
    <xf numFmtId="44" fontId="29" fillId="0" borderId="0" xfId="2" applyFont="1" applyFill="1" applyBorder="1" applyAlignment="1">
      <alignment horizontal="right"/>
    </xf>
    <xf numFmtId="0" fontId="3" fillId="0" borderId="0" xfId="1" applyNumberFormat="1" applyFont="1" applyFill="1" applyBorder="1"/>
    <xf numFmtId="44" fontId="3" fillId="0" borderId="0" xfId="2" applyFont="1" applyFill="1" applyBorder="1" applyAlignment="1">
      <alignment horizontal="right"/>
    </xf>
    <xf numFmtId="44" fontId="29" fillId="4" borderId="0" xfId="2" applyFont="1" applyFill="1" applyBorder="1" applyAlignment="1">
      <alignment horizontal="right"/>
    </xf>
    <xf numFmtId="44" fontId="3" fillId="4" borderId="0" xfId="2" applyFont="1" applyFill="1" applyBorder="1" applyAlignment="1">
      <alignment horizontal="right"/>
    </xf>
    <xf numFmtId="44" fontId="29" fillId="4" borderId="0" xfId="2" applyFont="1" applyFill="1" applyAlignment="1">
      <alignment horizontal="right"/>
    </xf>
    <xf numFmtId="43" fontId="26" fillId="0" borderId="0" xfId="1" applyFont="1"/>
    <xf numFmtId="43" fontId="2" fillId="0" borderId="0" xfId="1" applyFont="1"/>
    <xf numFmtId="44" fontId="8" fillId="4" borderId="0" xfId="2" applyFont="1" applyFill="1" applyAlignment="1">
      <alignment horizontal="right"/>
    </xf>
    <xf numFmtId="44" fontId="3" fillId="4" borderId="0" xfId="2" applyFont="1" applyFill="1"/>
    <xf numFmtId="43" fontId="3" fillId="0" borderId="0" xfId="1" applyFont="1"/>
    <xf numFmtId="43" fontId="29" fillId="0" borderId="0" xfId="1" applyFont="1"/>
    <xf numFmtId="14" fontId="0" fillId="0" borderId="0" xfId="0" applyNumberFormat="1"/>
    <xf numFmtId="16" fontId="0" fillId="0" borderId="0" xfId="0" applyNumberFormat="1"/>
    <xf numFmtId="8" fontId="0" fillId="14" borderId="0" xfId="0" applyNumberFormat="1" applyFill="1"/>
    <xf numFmtId="0" fontId="0" fillId="14" borderId="0" xfId="0" applyFill="1"/>
    <xf numFmtId="16" fontId="15" fillId="0" borderId="0" xfId="0" applyNumberFormat="1" applyFont="1"/>
    <xf numFmtId="8" fontId="15" fillId="0" borderId="0" xfId="0" applyNumberFormat="1" applyFont="1"/>
    <xf numFmtId="8" fontId="5" fillId="4" borderId="0" xfId="2" applyNumberFormat="1" applyFont="1" applyFill="1" applyBorder="1" applyAlignment="1">
      <alignment horizontal="right"/>
    </xf>
    <xf numFmtId="0" fontId="29" fillId="0" borderId="0" xfId="0" applyFont="1" applyAlignment="1">
      <alignment horizontal="center"/>
    </xf>
    <xf numFmtId="43" fontId="3" fillId="0" borderId="0" xfId="1" applyFont="1" applyBorder="1"/>
    <xf numFmtId="8" fontId="3" fillId="0" borderId="0" xfId="0" applyNumberFormat="1" applyFont="1"/>
    <xf numFmtId="8" fontId="15" fillId="4" borderId="0" xfId="2" applyNumberFormat="1" applyFont="1" applyFill="1" applyBorder="1" applyAlignment="1">
      <alignment horizontal="right"/>
    </xf>
    <xf numFmtId="8" fontId="3" fillId="4" borderId="0" xfId="2" applyNumberFormat="1" applyFont="1" applyFill="1" applyBorder="1" applyAlignment="1">
      <alignment horizontal="right"/>
    </xf>
    <xf numFmtId="8" fontId="15" fillId="0" borderId="0" xfId="2" applyNumberFormat="1" applyFont="1" applyFill="1" applyBorder="1" applyAlignment="1">
      <alignment horizontal="right"/>
    </xf>
    <xf numFmtId="43" fontId="14" fillId="10" borderId="33" xfId="3" applyNumberFormat="1" applyFont="1" applyFill="1" applyBorder="1" applyAlignment="1">
      <alignment horizontal="center" vertical="center"/>
    </xf>
    <xf numFmtId="43" fontId="14" fillId="10" borderId="0" xfId="3" applyNumberFormat="1" applyFont="1" applyFill="1" applyBorder="1" applyAlignment="1">
      <alignment horizontal="center" vertical="center"/>
    </xf>
    <xf numFmtId="43" fontId="23" fillId="12" borderId="17" xfId="1" applyFont="1" applyFill="1" applyBorder="1" applyAlignment="1">
      <alignment horizontal="center"/>
    </xf>
    <xf numFmtId="43" fontId="18" fillId="12" borderId="18" xfId="1" applyFont="1" applyFill="1" applyBorder="1" applyAlignment="1">
      <alignment horizontal="center"/>
    </xf>
    <xf numFmtId="8" fontId="5" fillId="0" borderId="0" xfId="2" applyNumberFormat="1" applyFont="1" applyFill="1" applyBorder="1" applyAlignment="1">
      <alignment horizontal="right"/>
    </xf>
    <xf numFmtId="44" fontId="29" fillId="0" borderId="0" xfId="2" applyFont="1" applyBorder="1" applyAlignment="1">
      <alignment horizontal="center"/>
    </xf>
    <xf numFmtId="44" fontId="3" fillId="0" borderId="0" xfId="2" applyFont="1" applyBorder="1" applyAlignment="1">
      <alignment horizontal="right"/>
    </xf>
    <xf numFmtId="164" fontId="16" fillId="4" borderId="0" xfId="2" applyNumberFormat="1" applyFont="1" applyFill="1" applyAlignment="1">
      <alignment horizontal="right"/>
    </xf>
    <xf numFmtId="164" fontId="18" fillId="4" borderId="0" xfId="2" applyNumberFormat="1" applyFont="1" applyFill="1" applyAlignment="1">
      <alignment horizontal="right"/>
    </xf>
    <xf numFmtId="44" fontId="0" fillId="0" borderId="0" xfId="2" applyFont="1" applyBorder="1"/>
    <xf numFmtId="0" fontId="4" fillId="0" borderId="0" xfId="0" applyFont="1" applyAlignment="1">
      <alignment horizontal="left"/>
    </xf>
    <xf numFmtId="44" fontId="4" fillId="0" borderId="0" xfId="2" applyFont="1" applyBorder="1"/>
    <xf numFmtId="8" fontId="5" fillId="0" borderId="0" xfId="0" applyNumberFormat="1" applyFont="1"/>
    <xf numFmtId="44" fontId="0" fillId="0" borderId="0" xfId="2" applyFont="1"/>
    <xf numFmtId="0" fontId="11" fillId="0" borderId="0" xfId="0" applyFont="1" applyAlignment="1">
      <alignment horizontal="center" vertical="center"/>
    </xf>
    <xf numFmtId="15" fontId="12" fillId="0" borderId="0" xfId="0" applyNumberFormat="1" applyFont="1" applyAlignment="1">
      <alignment horizontal="center" vertical="center"/>
    </xf>
    <xf numFmtId="44" fontId="26" fillId="4" borderId="0" xfId="2" applyFont="1" applyFill="1" applyBorder="1" applyAlignment="1">
      <alignment horizontal="right" vertical="center"/>
    </xf>
    <xf numFmtId="44" fontId="29" fillId="4" borderId="0" xfId="2" applyFont="1" applyFill="1" applyBorder="1" applyAlignment="1">
      <alignment horizontal="right" vertical="center"/>
    </xf>
    <xf numFmtId="44" fontId="2" fillId="4" borderId="0" xfId="2" applyFont="1" applyFill="1" applyBorder="1" applyAlignment="1">
      <alignment horizontal="right" vertical="center"/>
    </xf>
    <xf numFmtId="4" fontId="17" fillId="6" borderId="50" xfId="0" applyNumberFormat="1" applyFont="1" applyFill="1" applyBorder="1" applyAlignment="1">
      <alignment horizontal="right" vertical="center"/>
    </xf>
    <xf numFmtId="0" fontId="17" fillId="6" borderId="9" xfId="0" applyFont="1" applyFill="1" applyBorder="1" applyAlignment="1">
      <alignment vertical="center" wrapText="1"/>
    </xf>
    <xf numFmtId="0" fontId="17" fillId="6" borderId="10" xfId="0" applyFont="1" applyFill="1" applyBorder="1" applyAlignment="1">
      <alignment vertical="center" wrapText="1"/>
    </xf>
    <xf numFmtId="4" fontId="17" fillId="6" borderId="9" xfId="0" applyNumberFormat="1" applyFont="1" applyFill="1" applyBorder="1" applyAlignment="1">
      <alignment vertical="center" wrapText="1"/>
    </xf>
    <xf numFmtId="4" fontId="17" fillId="6" borderId="10" xfId="0" applyNumberFormat="1" applyFont="1" applyFill="1" applyBorder="1" applyAlignment="1">
      <alignment vertical="center" wrapText="1"/>
    </xf>
    <xf numFmtId="4" fontId="17" fillId="6" borderId="11" xfId="0" applyNumberFormat="1" applyFont="1" applyFill="1" applyBorder="1" applyAlignment="1">
      <alignment horizontal="right" vertical="center" wrapText="1"/>
    </xf>
    <xf numFmtId="0" fontId="17" fillId="6" borderId="11" xfId="0" applyFont="1" applyFill="1" applyBorder="1" applyAlignment="1">
      <alignment horizontal="right" vertical="center" wrapText="1"/>
    </xf>
    <xf numFmtId="164" fontId="5" fillId="4" borderId="0" xfId="2" applyNumberFormat="1" applyFont="1" applyFill="1" applyAlignment="1">
      <alignment horizontal="right"/>
    </xf>
    <xf numFmtId="49" fontId="17" fillId="6" borderId="11" xfId="0" applyNumberFormat="1" applyFont="1" applyFill="1" applyBorder="1" applyAlignment="1">
      <alignment horizontal="right" vertical="center"/>
    </xf>
    <xf numFmtId="0" fontId="33" fillId="0" borderId="0" xfId="0" applyFont="1" applyAlignment="1">
      <alignment horizontal="center" vertical="center"/>
    </xf>
    <xf numFmtId="44" fontId="10" fillId="4" borderId="0" xfId="2" applyFont="1" applyFill="1" applyAlignment="1">
      <alignment horizontal="right"/>
    </xf>
    <xf numFmtId="4" fontId="15" fillId="0" borderId="0" xfId="0" applyNumberFormat="1" applyFont="1"/>
    <xf numFmtId="0" fontId="0" fillId="0" borderId="58" xfId="0" applyBorder="1"/>
    <xf numFmtId="0" fontId="15" fillId="0" borderId="59" xfId="0" applyFont="1" applyBorder="1"/>
    <xf numFmtId="43" fontId="15" fillId="0" borderId="60" xfId="1" applyFont="1" applyBorder="1"/>
    <xf numFmtId="0" fontId="0" fillId="0" borderId="61" xfId="0" applyBorder="1"/>
    <xf numFmtId="43" fontId="15" fillId="0" borderId="62" xfId="1" applyFont="1" applyBorder="1"/>
    <xf numFmtId="43" fontId="34" fillId="0" borderId="62" xfId="1" applyFont="1" applyBorder="1"/>
    <xf numFmtId="43" fontId="0" fillId="0" borderId="62" xfId="1" applyFont="1" applyBorder="1"/>
    <xf numFmtId="0" fontId="0" fillId="0" borderId="63" xfId="0" applyBorder="1"/>
    <xf numFmtId="0" fontId="15" fillId="0" borderId="64" xfId="0" applyFont="1" applyBorder="1"/>
    <xf numFmtId="43" fontId="35" fillId="0" borderId="57" xfId="0" applyNumberFormat="1" applyFont="1" applyBorder="1"/>
    <xf numFmtId="44" fontId="8" fillId="0" borderId="0" xfId="2" applyFont="1" applyAlignment="1">
      <alignment horizontal="right" vertical="center"/>
    </xf>
    <xf numFmtId="4" fontId="5" fillId="0" borderId="0" xfId="0" applyNumberFormat="1" applyFont="1"/>
    <xf numFmtId="4" fontId="3" fillId="0" borderId="0" xfId="0" applyNumberFormat="1" applyFont="1"/>
    <xf numFmtId="4" fontId="17" fillId="6" borderId="49" xfId="0" applyNumberFormat="1" applyFont="1" applyFill="1" applyBorder="1" applyAlignment="1">
      <alignment vertical="center" wrapText="1"/>
    </xf>
    <xf numFmtId="4" fontId="17" fillId="6" borderId="17" xfId="0" applyNumberFormat="1" applyFont="1" applyFill="1" applyBorder="1" applyAlignment="1">
      <alignment vertical="center" wrapText="1"/>
    </xf>
    <xf numFmtId="0" fontId="11" fillId="5" borderId="44" xfId="0" applyFont="1" applyFill="1" applyBorder="1" applyAlignment="1">
      <alignment horizontal="center" vertical="center"/>
    </xf>
    <xf numFmtId="16" fontId="2" fillId="4" borderId="0" xfId="1" applyNumberFormat="1" applyFont="1" applyFill="1" applyBorder="1" applyAlignment="1">
      <alignment horizontal="center" vertical="center"/>
    </xf>
    <xf numFmtId="164" fontId="2" fillId="4" borderId="0" xfId="2" applyNumberFormat="1" applyFont="1" applyFill="1" applyBorder="1" applyAlignment="1">
      <alignment horizontal="right" vertical="center"/>
    </xf>
    <xf numFmtId="0" fontId="11" fillId="5" borderId="1" xfId="0" applyFont="1" applyFill="1" applyBorder="1" applyAlignment="1">
      <alignment horizontal="center" vertical="center"/>
    </xf>
    <xf numFmtId="0" fontId="14" fillId="3" borderId="2" xfId="4" applyFont="1" applyBorder="1" applyAlignment="1">
      <alignment horizontal="center" vertical="center"/>
    </xf>
    <xf numFmtId="0" fontId="14" fillId="3" borderId="3" xfId="4" applyFont="1" applyBorder="1" applyAlignment="1">
      <alignment horizontal="center" vertical="center"/>
    </xf>
    <xf numFmtId="0" fontId="14" fillId="3" borderId="4" xfId="4" applyFont="1" applyBorder="1" applyAlignment="1">
      <alignment horizontal="center" vertical="center"/>
    </xf>
    <xf numFmtId="0" fontId="17" fillId="6" borderId="5" xfId="0" applyFont="1" applyFill="1" applyBorder="1" applyAlignment="1">
      <alignment horizontal="left" vertical="center"/>
    </xf>
    <xf numFmtId="0" fontId="17" fillId="6" borderId="6" xfId="0" applyFont="1" applyFill="1" applyBorder="1" applyAlignment="1">
      <alignment horizontal="left" vertical="center"/>
    </xf>
    <xf numFmtId="0" fontId="17" fillId="6" borderId="7" xfId="0" applyFont="1" applyFill="1" applyBorder="1" applyAlignment="1">
      <alignment horizontal="left" vertical="center"/>
    </xf>
    <xf numFmtId="0" fontId="17" fillId="8" borderId="9" xfId="0" applyFont="1" applyFill="1" applyBorder="1" applyAlignment="1">
      <alignment horizontal="left" vertical="center"/>
    </xf>
    <xf numFmtId="0" fontId="17" fillId="8" borderId="10" xfId="0" applyFont="1" applyFill="1" applyBorder="1" applyAlignment="1">
      <alignment horizontal="left" vertical="center"/>
    </xf>
    <xf numFmtId="0" fontId="17" fillId="8" borderId="11" xfId="0" applyFont="1" applyFill="1" applyBorder="1" applyAlignment="1">
      <alignment horizontal="left" vertical="center"/>
    </xf>
    <xf numFmtId="44" fontId="14" fillId="9" borderId="13" xfId="3" applyNumberFormat="1" applyFont="1" applyFill="1" applyBorder="1" applyAlignment="1">
      <alignment horizontal="center" vertical="center"/>
    </xf>
    <xf numFmtId="44" fontId="14" fillId="9" borderId="14" xfId="3" applyNumberFormat="1" applyFont="1" applyFill="1" applyBorder="1" applyAlignment="1">
      <alignment horizontal="center" vertical="center"/>
    </xf>
    <xf numFmtId="43" fontId="14" fillId="8" borderId="14" xfId="3" applyNumberFormat="1" applyFont="1" applyFill="1" applyBorder="1" applyAlignment="1">
      <alignment horizontal="center" vertical="center"/>
    </xf>
    <xf numFmtId="43" fontId="14" fillId="8" borderId="15" xfId="3" applyNumberFormat="1" applyFont="1" applyFill="1" applyBorder="1" applyAlignment="1">
      <alignment horizontal="center" vertical="center"/>
    </xf>
    <xf numFmtId="0" fontId="17" fillId="6" borderId="9" xfId="0" applyFont="1" applyFill="1" applyBorder="1" applyAlignment="1">
      <alignment horizontal="left" vertical="center"/>
    </xf>
    <xf numFmtId="0" fontId="17" fillId="6" borderId="10" xfId="0" applyFont="1" applyFill="1" applyBorder="1" applyAlignment="1">
      <alignment horizontal="left" vertical="center"/>
    </xf>
    <xf numFmtId="0" fontId="17" fillId="6" borderId="11" xfId="0" applyFont="1" applyFill="1" applyBorder="1" applyAlignment="1">
      <alignment horizontal="left" vertical="center"/>
    </xf>
    <xf numFmtId="43" fontId="1" fillId="2" borderId="23" xfId="3" applyNumberFormat="1" applyBorder="1" applyAlignment="1">
      <alignment horizontal="center" vertical="center"/>
    </xf>
    <xf numFmtId="43" fontId="1" fillId="2" borderId="24" xfId="3" applyNumberFormat="1" applyBorder="1" applyAlignment="1">
      <alignment horizontal="center" vertical="center"/>
    </xf>
    <xf numFmtId="0" fontId="17" fillId="10" borderId="9" xfId="0" applyFont="1" applyFill="1" applyBorder="1" applyAlignment="1">
      <alignment horizontal="left" vertical="center"/>
    </xf>
    <xf numFmtId="0" fontId="17" fillId="10" borderId="10" xfId="0" applyFont="1" applyFill="1" applyBorder="1" applyAlignment="1">
      <alignment horizontal="left" vertical="center"/>
    </xf>
    <xf numFmtId="0" fontId="17" fillId="10" borderId="11" xfId="0" applyFont="1" applyFill="1" applyBorder="1" applyAlignment="1">
      <alignment horizontal="left" vertical="center"/>
    </xf>
    <xf numFmtId="0" fontId="17" fillId="9" borderId="9" xfId="0" applyFont="1" applyFill="1" applyBorder="1" applyAlignment="1">
      <alignment horizontal="left" vertical="center"/>
    </xf>
    <xf numFmtId="0" fontId="17" fillId="9" borderId="10" xfId="0" applyFont="1" applyFill="1" applyBorder="1" applyAlignment="1">
      <alignment horizontal="left" vertical="center"/>
    </xf>
    <xf numFmtId="0" fontId="17" fillId="9" borderId="11" xfId="0" applyFont="1" applyFill="1" applyBorder="1" applyAlignment="1">
      <alignment horizontal="left" vertical="center"/>
    </xf>
    <xf numFmtId="0" fontId="17" fillId="11" borderId="9" xfId="0" applyFont="1" applyFill="1" applyBorder="1" applyAlignment="1">
      <alignment horizontal="left" vertical="center"/>
    </xf>
    <xf numFmtId="0" fontId="17" fillId="11" borderId="10" xfId="0" applyFont="1" applyFill="1" applyBorder="1" applyAlignment="1">
      <alignment horizontal="left" vertical="center"/>
    </xf>
    <xf numFmtId="0" fontId="17" fillId="11" borderId="11" xfId="0" applyFont="1" applyFill="1" applyBorder="1" applyAlignment="1">
      <alignment horizontal="left" vertical="center"/>
    </xf>
    <xf numFmtId="0" fontId="17" fillId="6" borderId="19" xfId="0" applyFont="1" applyFill="1" applyBorder="1" applyAlignment="1">
      <alignment horizontal="left" vertical="center"/>
    </xf>
    <xf numFmtId="0" fontId="17" fillId="6" borderId="20" xfId="0" applyFont="1" applyFill="1" applyBorder="1" applyAlignment="1">
      <alignment horizontal="left" vertical="center"/>
    </xf>
    <xf numFmtId="0" fontId="17" fillId="6" borderId="21" xfId="0" applyFont="1" applyFill="1" applyBorder="1" applyAlignment="1">
      <alignment horizontal="left" vertical="center"/>
    </xf>
    <xf numFmtId="43" fontId="14" fillId="10" borderId="23" xfId="3" applyNumberFormat="1" applyFont="1" applyFill="1" applyBorder="1" applyAlignment="1">
      <alignment horizontal="center" vertical="center"/>
    </xf>
    <xf numFmtId="43" fontId="14" fillId="10" borderId="24" xfId="3" applyNumberFormat="1" applyFont="1" applyFill="1" applyBorder="1" applyAlignment="1">
      <alignment horizontal="center" vertical="center"/>
    </xf>
    <xf numFmtId="0" fontId="17" fillId="6" borderId="34" xfId="0" applyFont="1" applyFill="1" applyBorder="1" applyAlignment="1">
      <alignment horizontal="left" vertical="center"/>
    </xf>
    <xf numFmtId="0" fontId="17" fillId="6" borderId="35" xfId="0" applyFont="1" applyFill="1" applyBorder="1" applyAlignment="1">
      <alignment horizontal="left" vertical="center"/>
    </xf>
    <xf numFmtId="0" fontId="17" fillId="6" borderId="36" xfId="0" applyFont="1" applyFill="1" applyBorder="1" applyAlignment="1">
      <alignment horizontal="left" vertical="center"/>
    </xf>
    <xf numFmtId="0" fontId="17" fillId="6" borderId="30" xfId="0" applyFont="1" applyFill="1" applyBorder="1" applyAlignment="1">
      <alignment horizontal="left" vertical="center"/>
    </xf>
    <xf numFmtId="0" fontId="17" fillId="6" borderId="31" xfId="0" applyFont="1" applyFill="1" applyBorder="1" applyAlignment="1">
      <alignment horizontal="left" vertical="center"/>
    </xf>
    <xf numFmtId="0" fontId="17" fillId="6" borderId="32" xfId="0" applyFont="1" applyFill="1" applyBorder="1" applyAlignment="1">
      <alignment horizontal="left" vertical="center"/>
    </xf>
    <xf numFmtId="0" fontId="11" fillId="5" borderId="44" xfId="0" applyFont="1" applyFill="1" applyBorder="1" applyAlignment="1">
      <alignment horizontal="center" vertical="center"/>
    </xf>
    <xf numFmtId="0" fontId="11" fillId="5" borderId="45" xfId="0" applyFont="1" applyFill="1" applyBorder="1" applyAlignment="1">
      <alignment horizontal="center" vertical="center"/>
    </xf>
    <xf numFmtId="0" fontId="17" fillId="6" borderId="46" xfId="0" applyFont="1" applyFill="1" applyBorder="1" applyAlignment="1">
      <alignment horizontal="right" vertical="center"/>
    </xf>
    <xf numFmtId="0" fontId="17" fillId="6" borderId="47" xfId="0" applyFont="1" applyFill="1" applyBorder="1" applyAlignment="1">
      <alignment horizontal="right" vertical="center"/>
    </xf>
    <xf numFmtId="0" fontId="17" fillId="6" borderId="48" xfId="0" applyFont="1" applyFill="1" applyBorder="1" applyAlignment="1">
      <alignment horizontal="right" vertical="center"/>
    </xf>
    <xf numFmtId="0" fontId="17" fillId="6" borderId="19" xfId="0" applyFont="1" applyFill="1" applyBorder="1" applyAlignment="1">
      <alignment horizontal="right" vertical="center"/>
    </xf>
    <xf numFmtId="0" fontId="17" fillId="6" borderId="20" xfId="0" applyFont="1" applyFill="1" applyBorder="1" applyAlignment="1">
      <alignment horizontal="right" vertical="center"/>
    </xf>
    <xf numFmtId="0" fontId="17" fillId="6" borderId="21" xfId="0" applyFont="1" applyFill="1" applyBorder="1" applyAlignment="1">
      <alignment horizontal="right" vertical="center"/>
    </xf>
    <xf numFmtId="0" fontId="23" fillId="13" borderId="9" xfId="0" applyFont="1" applyFill="1" applyBorder="1" applyAlignment="1">
      <alignment horizontal="center" vertical="center"/>
    </xf>
    <xf numFmtId="0" fontId="23" fillId="13" borderId="10" xfId="0" applyFont="1" applyFill="1" applyBorder="1" applyAlignment="1">
      <alignment horizontal="center" vertical="center"/>
    </xf>
    <xf numFmtId="0" fontId="17" fillId="13" borderId="9" xfId="0" applyFont="1" applyFill="1" applyBorder="1" applyAlignment="1">
      <alignment horizontal="left" vertical="center"/>
    </xf>
    <xf numFmtId="0" fontId="17" fillId="13" borderId="10" xfId="0" applyFont="1" applyFill="1" applyBorder="1" applyAlignment="1">
      <alignment horizontal="left" vertical="center"/>
    </xf>
    <xf numFmtId="0" fontId="17" fillId="13" borderId="11" xfId="0" applyFont="1" applyFill="1" applyBorder="1" applyAlignment="1">
      <alignment horizontal="left" vertical="center"/>
    </xf>
    <xf numFmtId="0" fontId="2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" fontId="17" fillId="6" borderId="9" xfId="0" applyNumberFormat="1" applyFont="1" applyFill="1" applyBorder="1" applyAlignment="1">
      <alignment horizontal="center" vertical="center" wrapText="1"/>
    </xf>
    <xf numFmtId="4" fontId="17" fillId="6" borderId="10" xfId="0" applyNumberFormat="1" applyFont="1" applyFill="1" applyBorder="1" applyAlignment="1">
      <alignment horizontal="center" vertical="center" wrapText="1"/>
    </xf>
    <xf numFmtId="4" fontId="17" fillId="6" borderId="11" xfId="0" applyNumberFormat="1" applyFont="1" applyFill="1" applyBorder="1" applyAlignment="1">
      <alignment horizontal="center" vertical="center" wrapText="1"/>
    </xf>
    <xf numFmtId="0" fontId="17" fillId="6" borderId="9" xfId="0" applyFont="1" applyFill="1" applyBorder="1" applyAlignment="1">
      <alignment horizontal="center" vertical="center" wrapText="1"/>
    </xf>
    <xf numFmtId="0" fontId="17" fillId="6" borderId="10" xfId="0" applyFont="1" applyFill="1" applyBorder="1" applyAlignment="1">
      <alignment horizontal="center" vertical="center" wrapText="1"/>
    </xf>
    <xf numFmtId="0" fontId="17" fillId="6" borderId="11" xfId="0" applyFont="1" applyFill="1" applyBorder="1" applyAlignment="1">
      <alignment horizontal="center" vertical="center" wrapText="1"/>
    </xf>
    <xf numFmtId="16" fontId="2" fillId="4" borderId="0" xfId="1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6" fillId="0" borderId="1" xfId="0" applyFont="1" applyBorder="1" applyAlignment="1">
      <alignment horizontal="center" vertical="center" wrapText="1"/>
    </xf>
    <xf numFmtId="43" fontId="0" fillId="0" borderId="44" xfId="1" applyFont="1" applyBorder="1" applyAlignment="1">
      <alignment horizontal="center" vertical="center"/>
    </xf>
    <xf numFmtId="43" fontId="0" fillId="0" borderId="45" xfId="1" applyFont="1" applyBorder="1" applyAlignment="1">
      <alignment horizontal="center" vertical="center"/>
    </xf>
    <xf numFmtId="43" fontId="0" fillId="0" borderId="65" xfId="1" applyFont="1" applyBorder="1" applyAlignment="1">
      <alignment horizontal="center" vertical="center"/>
    </xf>
    <xf numFmtId="43" fontId="0" fillId="0" borderId="66" xfId="1" applyFont="1" applyBorder="1" applyAlignment="1">
      <alignment horizontal="center" vertical="center"/>
    </xf>
  </cellXfs>
  <cellStyles count="8">
    <cellStyle name="20% - Énfasis1" xfId="3" builtinId="30"/>
    <cellStyle name="60% - Énfasis1" xfId="4" builtinId="32"/>
    <cellStyle name="Millares" xfId="1" builtinId="3"/>
    <cellStyle name="Moneda" xfId="2" builtinId="4"/>
    <cellStyle name="Moneda 2" xfId="7" xr:uid="{5DC20063-F352-4BB4-9E33-7D4326CF9203}"/>
    <cellStyle name="Moneda 2 299" xfId="5" xr:uid="{006647BB-19DF-4AC3-B8BE-B44DC3B902CB}"/>
    <cellStyle name="Normal" xfId="0" builtinId="0"/>
    <cellStyle name="Normal 2 2" xfId="6" xr:uid="{D77A4FFB-C05C-44E2-AA6B-384D944F648A}"/>
  </cellStyles>
  <dxfs count="0"/>
  <tableStyles count="0" defaultTableStyle="TableStyleMedium2" defaultPivotStyle="PivotStyleLight16"/>
  <colors>
    <mruColors>
      <color rgb="FFF1D3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calcChain" Target="calcChain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microsoft.com/office/2017/06/relationships/rdRichValue" Target="richData/rdrichvalue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microsoft.com/office/2017/06/relationships/rdRichValueStructure" Target="richData/rdrichvaluestructure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sharedStrings" Target="sharedStrings.xml"/><Relationship Id="rId169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sheetMetadata" Target="metadata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53E7B3E0-10A8-4D7D-9C58-E308ADBD4C7E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8AE8765E-0E38-4382-A95D-FDE9893841D2}"/>
            </a:ext>
          </a:extLst>
        </xdr:cNvPr>
        <xdr:cNvSpPr/>
      </xdr:nvSpPr>
      <xdr:spPr>
        <a:xfrm>
          <a:off x="2895600" y="438150"/>
          <a:ext cx="93345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32C8C912-ABD1-42FB-8137-5E848F1651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CE878C03-F932-43B2-A49C-ACC202B22E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46FC80B5-23B8-42D9-8BA8-A7F4218A10B2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DBA630B4-F2F4-495A-B19D-8156D2CFA0CC}"/>
            </a:ext>
          </a:extLst>
        </xdr:cNvPr>
        <xdr:cNvSpPr/>
      </xdr:nvSpPr>
      <xdr:spPr>
        <a:xfrm>
          <a:off x="2895600" y="438150"/>
          <a:ext cx="93345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5431D8C6-8405-416D-B0D8-6C6115C656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314D79BF-2464-4D7B-8235-33267CF2FA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B249BEC2-F13C-4C80-8A07-C484754B9D0C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3E35B2A3-3A07-4D66-8220-548410DDA5D8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89757AF3-AC12-4728-A203-353224A16A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48483106-916D-4C5E-BDF8-DF53CE488A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D67764A9-10D4-4C6B-8CFF-F1B56D3A590E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2E0F3A9B-5979-48AB-A374-1A706AC871D3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DDC8FFBB-D736-4672-9A17-02E070C757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D1B3BCEF-6C34-46BB-A1E1-C421532BB3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0A70D28A-E57B-4C39-A08A-DEB035C89EE6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EE995FD7-29E0-44D0-8902-78836C706682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B67CBCF8-783E-4708-879E-B346647979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82042544-1B75-4B91-B3AE-A408DDC5A1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2357709A-4423-4772-BC32-01183CFDE542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3C0C363A-684E-40C8-A919-F669AAD794B3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66FA445A-6746-403F-BE66-D7B6424A30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4B19E5C3-5B36-49B8-B950-81D6B01837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5BAF3D5A-6005-49E0-9CFA-797DAAF1B1AC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266DFE2A-1CD0-47DC-BC11-CFA2C060C74E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BFE5400F-1049-494E-84C3-9F8786B205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7181A613-F86A-445A-871E-50CCE7061C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42B5DE9F-3CBC-4773-86C1-4B5EADAFE4BF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86ACA182-A03D-481F-A0A4-52621EA3930C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2489A4C4-F2A5-4AFF-85A5-CA07649183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9A6D2205-689E-42BA-A105-ACD1E28032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DF778E55-237F-40D0-9F3C-FB3DC50B9969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E83C230F-F146-4CC2-A138-37A4EED0BCEF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14A0D80E-6723-41D2-BEF7-5F5FC5FEBE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4FC116C7-F270-40A7-B9E5-19321AC664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E9715BFF-64DC-4708-AE6B-B64226C4AD4C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C06F0B6E-6150-4C14-926E-7CF8E194511F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26CF7F63-5B90-427F-9A9B-579DD01B58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FEAC8DC6-A0DA-41AA-9651-3D761108A8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39F2637B-F2A7-45E3-9A3C-86612FCEDE34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698F5569-F232-450E-A6C8-F41487AA7A4C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07A82202-3995-4C84-9CFE-39F8CA81C7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592496C0-9A28-43A6-8BA8-54E1A5CFD3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CCAF9B2D-E81F-4444-AE9E-9258C827752E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816576EC-0B4F-4F44-B307-5160A9FC3EE1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0858DA17-096D-4E63-B953-8559323336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8DC39794-2CA9-46B8-B47E-CF84665B97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287A4DB9-AD4B-4606-81B5-0093F008B87F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23BC6C5E-7ACC-4D33-8178-5C250A99B741}"/>
            </a:ext>
          </a:extLst>
        </xdr:cNvPr>
        <xdr:cNvSpPr/>
      </xdr:nvSpPr>
      <xdr:spPr>
        <a:xfrm>
          <a:off x="2895600" y="438150"/>
          <a:ext cx="93345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DC8EC9A4-14C8-4845-A7E8-85D1B569ED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04A6B6A9-E46A-4A3A-BBCE-C3EA221D6E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C9EC4997-57E8-42CF-975E-BABE57059E3D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3DE8E84E-E7CE-4E41-B105-625E1C8DF998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FDFD347A-D7E5-4ACD-80AB-460E5681B2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BA77CFE8-5293-4431-B398-4ACD42135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1CF8A4AF-1AB8-4129-BE93-F3B71126E521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5E3379BC-5D15-42B5-8C6D-6BF891AD169B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D968460F-7CF9-45D3-8ADA-5A82C4C455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3BE5291E-34FC-422F-B037-845BC34698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494AFD89-9F10-4E35-A12B-564D8EDC2C56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EA27B2AF-B1BE-47F1-BB60-39806B4848B4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8F61B725-541E-4988-B071-1FB79B4689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0A284D31-38A9-4AA7-AC52-0231863046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30FF2CC7-F84A-4C7E-9643-C5EABD30A53E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B36BCC5C-285E-4BE8-87B5-C27C3038037B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824BE580-F162-4CA7-AA18-6E54C9635B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913D8B1A-D04A-46D1-BF95-08932DE10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030D8E45-1D21-4E21-9908-03A5418FA3E2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94E8210A-DF10-4C26-A5FA-EE141657D5C0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32CC0FDC-AA14-4DAD-B08E-A8C0BA8317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49A613C8-EF7E-451C-A0D7-4EB6484AB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F5FC878A-6323-424D-904C-1BA7BAC5ED0A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E029EB83-8F4C-4CD8-9F3F-C04E620075FC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098D001E-6AC7-43BD-9FBB-D5E3ABDFBA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F49909EB-7ECC-4855-8521-7FEC664F2B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E5D8441A-19BB-4FD7-8F0D-069F7A70D8A0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688D0223-BC5C-44DD-96C1-A3243E5D837B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78CEE784-142A-47CE-8A0F-615DBE3969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3B1294B2-BD51-4F45-9171-917318444B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CEE5B5D9-1713-41B8-8F85-9F094616E98F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18EE4910-6823-4343-8947-86494277B10D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4F86758F-EF28-469D-883B-5D2A9D057C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501753DB-D659-4204-A729-09925644D5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0CE8F468-265A-446A-855E-8867DDF59B09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792FE38C-DE5A-47B5-B534-33024832DC86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1989C691-B4C6-415A-AE72-F68EA5BA43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FF455DAE-3915-4814-809B-761BAAAF0D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16BF71DB-54A0-4999-8176-45E613C1637D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DCB8048F-2A3E-4D8F-9E3B-9001EAA4BFBC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1FA141F7-8A22-4D63-B220-6E77F376B3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5E94796D-E006-47BB-AF91-947E0903C4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ED244113-DD90-4D2B-B022-656752BBBE09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0685C4C8-150E-47FF-AD10-07A1910D7CF9}"/>
            </a:ext>
          </a:extLst>
        </xdr:cNvPr>
        <xdr:cNvSpPr/>
      </xdr:nvSpPr>
      <xdr:spPr>
        <a:xfrm>
          <a:off x="2895600" y="438150"/>
          <a:ext cx="93345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DD9357DB-5196-4EAC-8C75-5E669FDC8C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B8AC4C6B-58B4-40CE-9068-92DBC0212B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0BBD453D-D546-4985-875E-541487885548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5032FD24-7CE2-4876-83E8-0870CF25C050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52801039-6AB1-417E-9408-3D148043F7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EDC03E3D-6DB6-48C9-994D-CE3B20BB49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A72BF36A-0DF8-4B19-BB44-7EE2E539923E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80358777-6D75-4970-9FA5-D638732EC07A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072C493C-8C83-4090-B148-50C956CE42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57DE647D-E8D0-4903-8C9D-58FC2916AB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780CCC39-7FC4-4DA5-B0FF-2EE922A1A83F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2521329B-C89A-4408-9212-96A296A4DB1D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1FBC3DF9-DCEC-4379-8AAD-B3AF06718E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50DBC5C6-0FE1-4460-B83A-6ACFB77E6C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A0561648-38E8-4120-A7CE-E9C69B2BF2CA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47653270-F001-4F4F-BF99-287B3415FF14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A6B760FA-F165-4DCA-93A1-DEAAB8FF12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F5EA632C-F2B2-493B-8D93-D16D981AE7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5A53511E-FBB4-40C3-8521-06FC2CBC7F0C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5CC2E4F0-A8E7-442D-A648-9E03C5E2BBE0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F81E9D68-40AD-43AE-B0B9-79D349BA4F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2114765F-75E7-4290-BA65-A5F4070B1D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D8ACAAAE-CF83-4F69-B7E8-2B806DD2206B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D2488939-642A-4A04-9554-1EFD2FB09F9F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5876EF12-A3FC-426D-8EB1-0AB55885EC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44DDD8C9-5BDE-4CB4-9005-55BB70440E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BA6E5B7C-8E61-487E-A1F8-A1E27B85AB65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16DEC9FA-1F0C-4046-B0E6-4C17458E2BCD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7BFB9D7F-F57C-48EE-9D03-69A3EFBBD0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3A40FAAB-BA99-4655-8310-008B2F59D8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5CBDB9F5-8938-467E-95C7-223FF11FA892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E4BC0B5B-4CED-4FB2-9FE4-DD0DCDDF38CC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D15B64C9-AA84-4319-BC23-AA2F160AD2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61DC41FC-94C0-4111-97C7-8E3B9F19E4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F0E220C5-4D33-4FBD-8330-B4A708CBCA01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6F017CD9-669C-4770-9B0B-AC4957E2272A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CF9C9ED0-F3BA-4544-82A7-A6B81819C6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EFF75C75-6EB4-49D4-B784-87A1CBF7BE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41E11F47-6FD9-4519-BA9D-49407D989CBF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B765DE80-BD1E-42C0-8682-99A8E5EFDE90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D62C666C-561F-4075-A667-D5730EE8D5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3405167F-080A-4C36-8824-7804CFD74A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1A8E2F96-D5B4-4E92-B121-386C4DD602EE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EC447BA9-6B1C-454A-BC99-BCA745906F5D}"/>
            </a:ext>
          </a:extLst>
        </xdr:cNvPr>
        <xdr:cNvSpPr/>
      </xdr:nvSpPr>
      <xdr:spPr>
        <a:xfrm>
          <a:off x="2895600" y="438150"/>
          <a:ext cx="93345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0BBAED64-CDA0-4395-817F-2150CDCEBC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EB89F5CA-4DD2-4B82-AB62-447DE5968E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6DF5A3A5-8B4A-4FF4-95C4-02A75DB1068F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A01BB9DB-7CBD-44F0-B795-A3AEA4F9040A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254F7ED3-4F0C-469F-A819-F7A833FED1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A8854CC5-C6FA-46B7-BAEF-5C702C0A3F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353013EE-C5A9-4E83-93E2-680D2734F3DF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3A126CD9-169C-4E4D-B305-7C61966D8CBB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8F07AF68-7633-497F-9AFB-1621EC95BF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3F5AE4A6-56E3-4AD7-8ED5-F8B9BF11E5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1ABD5181-1F49-4F25-8ED3-7F5D79C8EDDB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8D8EB12B-54DE-45FA-A9C1-C294D5295DE8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D8BB81A0-23B3-4EB6-9627-CF2CE56BD4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24B14F04-B822-472E-AC6C-2EE969E86A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96E1F41C-513F-4FD1-AA45-669E70320BDA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591D2DB7-285D-4E2A-9AAE-4D770F137792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CBBF1F3E-9199-49D5-94E7-2C2A524F42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20B41C10-51C0-49D7-97F0-629A1CE58B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8DB7186F-F505-4A2F-8C7B-D258417CFA04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6BDBC5F3-CAA1-4456-9B0C-EF1CE19BB150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6F793AD8-11F7-41F0-BDCE-F7315179D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7BBA0B1A-1DA7-4B07-8DC2-CC8A3D494F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AD430CBC-500C-4AA5-A40A-CA1E381105B5}"/>
            </a:ext>
          </a:extLst>
        </xdr:cNvPr>
        <xdr:cNvSpPr/>
      </xdr:nvSpPr>
      <xdr:spPr>
        <a:xfrm>
          <a:off x="37179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3F0C7A5D-52A0-406E-A002-94B67FCE7DD5}"/>
            </a:ext>
          </a:extLst>
        </xdr:cNvPr>
        <xdr:cNvSpPr/>
      </xdr:nvSpPr>
      <xdr:spPr>
        <a:xfrm>
          <a:off x="29241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73965BD7-D708-469C-A82D-067BB4A447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6ECD804E-88F2-4AAB-96EF-9A2CC7DD16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F7EA951F-C326-4808-A40A-EC78D62A1997}"/>
            </a:ext>
          </a:extLst>
        </xdr:cNvPr>
        <xdr:cNvSpPr/>
      </xdr:nvSpPr>
      <xdr:spPr>
        <a:xfrm>
          <a:off x="37179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8F889605-5D94-4C9E-A175-072F878054FD}"/>
            </a:ext>
          </a:extLst>
        </xdr:cNvPr>
        <xdr:cNvSpPr/>
      </xdr:nvSpPr>
      <xdr:spPr>
        <a:xfrm>
          <a:off x="29241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50BA2588-4EDB-448C-9FCA-C56195E8E6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3A46F8F6-5FBA-4727-AEE8-615380407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6358AE24-37C9-46AF-B74A-339D4FBE1E40}"/>
            </a:ext>
          </a:extLst>
        </xdr:cNvPr>
        <xdr:cNvSpPr/>
      </xdr:nvSpPr>
      <xdr:spPr>
        <a:xfrm>
          <a:off x="37179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380BEBC5-11A2-48D5-B58A-3D8DD672BCDE}"/>
            </a:ext>
          </a:extLst>
        </xdr:cNvPr>
        <xdr:cNvSpPr/>
      </xdr:nvSpPr>
      <xdr:spPr>
        <a:xfrm>
          <a:off x="29241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59307890-31A0-47AE-B248-D9443926E5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D6ECD044-3243-4EC6-93B7-48B035E213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70BE0F46-5682-4C49-9B23-5636DD8FCF62}"/>
            </a:ext>
          </a:extLst>
        </xdr:cNvPr>
        <xdr:cNvSpPr/>
      </xdr:nvSpPr>
      <xdr:spPr>
        <a:xfrm>
          <a:off x="37179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1FBC108C-D647-480E-AD07-A680386E69C1}"/>
            </a:ext>
          </a:extLst>
        </xdr:cNvPr>
        <xdr:cNvSpPr/>
      </xdr:nvSpPr>
      <xdr:spPr>
        <a:xfrm>
          <a:off x="29241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8BEB26C3-61C9-46AE-9C50-8C7CBD9A3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B244F52B-CDB7-4FD3-A524-2AE6AFE7F8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50EA7353-6B29-4D45-BEC9-8F9FDF8DF58D}"/>
            </a:ext>
          </a:extLst>
        </xdr:cNvPr>
        <xdr:cNvSpPr/>
      </xdr:nvSpPr>
      <xdr:spPr>
        <a:xfrm>
          <a:off x="37179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94016033-6326-4DB3-BFAD-14DF4723DB66}"/>
            </a:ext>
          </a:extLst>
        </xdr:cNvPr>
        <xdr:cNvSpPr/>
      </xdr:nvSpPr>
      <xdr:spPr>
        <a:xfrm>
          <a:off x="29241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DD3E2DAA-95CB-4682-97F1-76B694CBD2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A36DABB6-63F3-4AC8-91E7-D8587E8144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2A1B021C-E2E0-4A1D-813F-D0121C192711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F77013FA-E3D2-446D-824A-03A737084031}"/>
            </a:ext>
          </a:extLst>
        </xdr:cNvPr>
        <xdr:cNvSpPr/>
      </xdr:nvSpPr>
      <xdr:spPr>
        <a:xfrm>
          <a:off x="2895600" y="438150"/>
          <a:ext cx="93345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86179F54-B08D-4E8B-8CC8-F6D93E296C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B617214A-1744-44C4-B50E-98F54AF458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E5AC2332-1541-4951-9002-D4A190DE21D1}"/>
            </a:ext>
          </a:extLst>
        </xdr:cNvPr>
        <xdr:cNvSpPr/>
      </xdr:nvSpPr>
      <xdr:spPr>
        <a:xfrm>
          <a:off x="37179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E633A4FE-7B01-4E39-8931-5A04698BA347}"/>
            </a:ext>
          </a:extLst>
        </xdr:cNvPr>
        <xdr:cNvSpPr/>
      </xdr:nvSpPr>
      <xdr:spPr>
        <a:xfrm>
          <a:off x="29241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6661821B-A271-4743-8B2E-6F25FBA01F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6F587DE2-E25C-44A0-824E-FCE23F555E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FC0C5AA5-1144-4F4F-B84B-3BF6C410BB84}"/>
            </a:ext>
          </a:extLst>
        </xdr:cNvPr>
        <xdr:cNvSpPr/>
      </xdr:nvSpPr>
      <xdr:spPr>
        <a:xfrm>
          <a:off x="37179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EA11C1F5-7FA6-4605-9170-2A361347106C}"/>
            </a:ext>
          </a:extLst>
        </xdr:cNvPr>
        <xdr:cNvSpPr/>
      </xdr:nvSpPr>
      <xdr:spPr>
        <a:xfrm>
          <a:off x="29241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CEDF8B32-244F-47EC-A789-7F965CA7B7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5B8D190E-857D-481E-96F6-91D422C6C3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844218DE-809B-473F-B8CD-6A34933CBAF4}"/>
            </a:ext>
          </a:extLst>
        </xdr:cNvPr>
        <xdr:cNvSpPr/>
      </xdr:nvSpPr>
      <xdr:spPr>
        <a:xfrm>
          <a:off x="37179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174C0F06-2A3D-445D-860E-36E82416C179}"/>
            </a:ext>
          </a:extLst>
        </xdr:cNvPr>
        <xdr:cNvSpPr/>
      </xdr:nvSpPr>
      <xdr:spPr>
        <a:xfrm>
          <a:off x="29241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2B5C1F6F-BFA8-4464-8F27-1DB8D2600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7CF6079D-68C4-4A41-A684-7752A56509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C6EEA92C-74A5-46B0-9A2B-3D42169FF46F}"/>
            </a:ext>
          </a:extLst>
        </xdr:cNvPr>
        <xdr:cNvSpPr/>
      </xdr:nvSpPr>
      <xdr:spPr>
        <a:xfrm>
          <a:off x="26892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6A914CE0-A3EC-4771-9B05-60D998A1F68C}"/>
            </a:ext>
          </a:extLst>
        </xdr:cNvPr>
        <xdr:cNvSpPr/>
      </xdr:nvSpPr>
      <xdr:spPr>
        <a:xfrm>
          <a:off x="18954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F8281605-9944-4355-B02A-41B78B2A1A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0913BDCE-F8A6-47E3-B565-56E59471AA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2ECF9C0D-11E9-4DCE-AB43-DBC927AD8D49}"/>
            </a:ext>
          </a:extLst>
        </xdr:cNvPr>
        <xdr:cNvSpPr/>
      </xdr:nvSpPr>
      <xdr:spPr>
        <a:xfrm>
          <a:off x="26892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23CCD9EF-BA06-4552-B3BD-83B22B1189AF}"/>
            </a:ext>
          </a:extLst>
        </xdr:cNvPr>
        <xdr:cNvSpPr/>
      </xdr:nvSpPr>
      <xdr:spPr>
        <a:xfrm>
          <a:off x="18954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11FEEA66-040C-44ED-AB24-7286EC0CC5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5D8CD4EC-D746-4DE8-8996-54DF830FC7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6F9DE473-9030-4784-ABBE-4A6C6CD87651}"/>
            </a:ext>
          </a:extLst>
        </xdr:cNvPr>
        <xdr:cNvSpPr/>
      </xdr:nvSpPr>
      <xdr:spPr>
        <a:xfrm>
          <a:off x="26892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2CDB3949-DB9A-40E7-8AE9-BB556429C8ED}"/>
            </a:ext>
          </a:extLst>
        </xdr:cNvPr>
        <xdr:cNvSpPr/>
      </xdr:nvSpPr>
      <xdr:spPr>
        <a:xfrm>
          <a:off x="18954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4B950F86-AFFA-49FB-B336-EEEC36AE0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859C1AC0-078D-472B-9CF3-22D883416C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1FE07C6D-7783-473B-B8C2-35C5D5AEF080}"/>
            </a:ext>
          </a:extLst>
        </xdr:cNvPr>
        <xdr:cNvSpPr/>
      </xdr:nvSpPr>
      <xdr:spPr>
        <a:xfrm>
          <a:off x="26892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3C85E341-EB36-40A5-80D0-759BD3E680D1}"/>
            </a:ext>
          </a:extLst>
        </xdr:cNvPr>
        <xdr:cNvSpPr/>
      </xdr:nvSpPr>
      <xdr:spPr>
        <a:xfrm>
          <a:off x="18954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ECF9EB03-8C35-4D69-A3B8-09F737343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CE152D9A-226B-4128-82DC-52E27256DA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0D646031-61EF-425B-AD0E-F80D6468D532}"/>
            </a:ext>
          </a:extLst>
        </xdr:cNvPr>
        <xdr:cNvSpPr/>
      </xdr:nvSpPr>
      <xdr:spPr>
        <a:xfrm>
          <a:off x="26892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FA0F05C9-98D3-4824-A9E4-54FA5A778BEB}"/>
            </a:ext>
          </a:extLst>
        </xdr:cNvPr>
        <xdr:cNvSpPr/>
      </xdr:nvSpPr>
      <xdr:spPr>
        <a:xfrm>
          <a:off x="18954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FF017A0D-BE0A-4887-9622-5EA3C65A87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7E781A73-2F89-4399-B186-6ACC041F98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71CDC79D-592A-4F55-92C0-662001567504}"/>
            </a:ext>
          </a:extLst>
        </xdr:cNvPr>
        <xdr:cNvSpPr/>
      </xdr:nvSpPr>
      <xdr:spPr>
        <a:xfrm>
          <a:off x="26892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44B091BD-1666-4AC7-9957-F29988201C5D}"/>
            </a:ext>
          </a:extLst>
        </xdr:cNvPr>
        <xdr:cNvSpPr/>
      </xdr:nvSpPr>
      <xdr:spPr>
        <a:xfrm>
          <a:off x="18954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7648F7AF-2696-441F-86EA-89C4F21E8C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708C1B1A-2448-47E6-AFC9-3419AAE072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EF33A218-51FF-4F71-9EFE-44DAB8DD8470}"/>
            </a:ext>
          </a:extLst>
        </xdr:cNvPr>
        <xdr:cNvSpPr/>
      </xdr:nvSpPr>
      <xdr:spPr>
        <a:xfrm>
          <a:off x="26892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FEF9AF4A-4936-46B3-999B-56881AC90139}"/>
            </a:ext>
          </a:extLst>
        </xdr:cNvPr>
        <xdr:cNvSpPr/>
      </xdr:nvSpPr>
      <xdr:spPr>
        <a:xfrm>
          <a:off x="18954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3942B74D-8B00-476A-BA4C-04D7525297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572FBF7A-9F8F-4850-92DB-440CB2665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301D16D9-949F-4D8D-A844-02D1A7D295E0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509184D6-542E-47EB-9D6F-F28F3E516376}"/>
            </a:ext>
          </a:extLst>
        </xdr:cNvPr>
        <xdr:cNvSpPr/>
      </xdr:nvSpPr>
      <xdr:spPr>
        <a:xfrm>
          <a:off x="2895600" y="438150"/>
          <a:ext cx="93345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569DAC15-72B9-4DC7-81C4-A1FBC0D09C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37184619-AA2A-43BB-B626-CA97A72FE1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F57D71ED-46FD-498A-B4D5-47BFD03ECDDF}"/>
            </a:ext>
          </a:extLst>
        </xdr:cNvPr>
        <xdr:cNvSpPr/>
      </xdr:nvSpPr>
      <xdr:spPr>
        <a:xfrm>
          <a:off x="26892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4BE01CF5-56EC-4236-9785-5D6078E360ED}"/>
            </a:ext>
          </a:extLst>
        </xdr:cNvPr>
        <xdr:cNvSpPr/>
      </xdr:nvSpPr>
      <xdr:spPr>
        <a:xfrm>
          <a:off x="18954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6DFE2E10-CD50-43B3-8774-A1C2CE4683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B2A068E7-140C-484E-BE85-55B3B8DB60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A3165691-BF8E-4CB8-AACC-AB0C98EB055D}"/>
            </a:ext>
          </a:extLst>
        </xdr:cNvPr>
        <xdr:cNvSpPr/>
      </xdr:nvSpPr>
      <xdr:spPr>
        <a:xfrm>
          <a:off x="26892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C0899BAE-B89E-4877-98BD-4E335D876568}"/>
            </a:ext>
          </a:extLst>
        </xdr:cNvPr>
        <xdr:cNvSpPr/>
      </xdr:nvSpPr>
      <xdr:spPr>
        <a:xfrm>
          <a:off x="18954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C63C49E0-8059-49FC-9D37-3344E25957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E05DEBAC-ABB4-4858-95C6-4E58C2444A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EE7E31D9-BBB3-4EED-8AF6-A9ABB498299F}"/>
            </a:ext>
          </a:extLst>
        </xdr:cNvPr>
        <xdr:cNvSpPr/>
      </xdr:nvSpPr>
      <xdr:spPr>
        <a:xfrm>
          <a:off x="26892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BCA88AD3-9354-4A2B-A0EB-0A9B13411193}"/>
            </a:ext>
          </a:extLst>
        </xdr:cNvPr>
        <xdr:cNvSpPr/>
      </xdr:nvSpPr>
      <xdr:spPr>
        <a:xfrm>
          <a:off x="18954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D7627D0C-438D-466F-8D36-242540598C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7E44A879-1B1B-45C2-9837-DA0797A2FD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4B4F3EA2-C5C9-4C61-9C55-96EC1FEDC47D}"/>
            </a:ext>
          </a:extLst>
        </xdr:cNvPr>
        <xdr:cNvSpPr/>
      </xdr:nvSpPr>
      <xdr:spPr>
        <a:xfrm>
          <a:off x="26892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21AE2E6C-180D-4ABB-A205-57F608C6DCD5}"/>
            </a:ext>
          </a:extLst>
        </xdr:cNvPr>
        <xdr:cNvSpPr/>
      </xdr:nvSpPr>
      <xdr:spPr>
        <a:xfrm>
          <a:off x="18954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142F4FFC-C1EB-452E-8340-9B6808327A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2E622F43-4335-4262-B941-8E05C02F2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348D3587-05EB-43D9-8400-A83A0D426E0E}"/>
            </a:ext>
          </a:extLst>
        </xdr:cNvPr>
        <xdr:cNvSpPr/>
      </xdr:nvSpPr>
      <xdr:spPr>
        <a:xfrm>
          <a:off x="26892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5F200EE5-DC75-486C-B934-05200F1167A2}"/>
            </a:ext>
          </a:extLst>
        </xdr:cNvPr>
        <xdr:cNvSpPr/>
      </xdr:nvSpPr>
      <xdr:spPr>
        <a:xfrm>
          <a:off x="18954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78272799-F775-474F-A1C7-95CB167D65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E7744500-9184-4939-B6DD-2384A4BEBE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6161B068-19CE-423B-8103-E14B29724B70}"/>
            </a:ext>
          </a:extLst>
        </xdr:cNvPr>
        <xdr:cNvSpPr/>
      </xdr:nvSpPr>
      <xdr:spPr>
        <a:xfrm>
          <a:off x="26892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D6A16AE8-448D-4FD2-8CC2-145CF391E59D}"/>
            </a:ext>
          </a:extLst>
        </xdr:cNvPr>
        <xdr:cNvSpPr/>
      </xdr:nvSpPr>
      <xdr:spPr>
        <a:xfrm>
          <a:off x="18954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26B0E233-53DF-442E-9867-5A1F020E24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6F8B6044-5AE2-4751-86F7-44B5898B53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B89D6155-56FE-4B65-86A1-4FBA19538A22}"/>
            </a:ext>
          </a:extLst>
        </xdr:cNvPr>
        <xdr:cNvSpPr/>
      </xdr:nvSpPr>
      <xdr:spPr>
        <a:xfrm>
          <a:off x="26892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D018A828-C71F-45BA-A98A-4E4B4C7B0960}"/>
            </a:ext>
          </a:extLst>
        </xdr:cNvPr>
        <xdr:cNvSpPr/>
      </xdr:nvSpPr>
      <xdr:spPr>
        <a:xfrm>
          <a:off x="18954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846D6C31-9F9B-4EEE-A7C1-1709EEE0F3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E6E373E0-4844-42DB-A1F5-FF3E55A531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A1B4176A-EC85-4D14-87C4-B5ED2796ED4E}"/>
            </a:ext>
          </a:extLst>
        </xdr:cNvPr>
        <xdr:cNvSpPr/>
      </xdr:nvSpPr>
      <xdr:spPr>
        <a:xfrm>
          <a:off x="26892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650797C1-3034-4490-9146-0C10BEBEC631}"/>
            </a:ext>
          </a:extLst>
        </xdr:cNvPr>
        <xdr:cNvSpPr/>
      </xdr:nvSpPr>
      <xdr:spPr>
        <a:xfrm>
          <a:off x="18954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470A9732-2482-4F9B-88D4-2FF0A21AC8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F6107815-F78C-4DD5-92A6-9960DC996A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91C47004-AD2A-4EFE-A43B-995703592F00}"/>
            </a:ext>
          </a:extLst>
        </xdr:cNvPr>
        <xdr:cNvSpPr/>
      </xdr:nvSpPr>
      <xdr:spPr>
        <a:xfrm>
          <a:off x="26892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3DB84839-823F-43B5-A2EE-A0148F410717}"/>
            </a:ext>
          </a:extLst>
        </xdr:cNvPr>
        <xdr:cNvSpPr/>
      </xdr:nvSpPr>
      <xdr:spPr>
        <a:xfrm>
          <a:off x="18954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1E9BA8B2-1BEA-4108-A498-361D55C13A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553ED767-01DC-4F5D-8D4A-AD02C6CD4F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98502327-B657-401D-82C7-7B97FB36C636}"/>
            </a:ext>
          </a:extLst>
        </xdr:cNvPr>
        <xdr:cNvSpPr/>
      </xdr:nvSpPr>
      <xdr:spPr>
        <a:xfrm>
          <a:off x="2689226" y="1133475"/>
          <a:ext cx="7188200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7E436A9D-88A6-4C64-A7E6-6EF98E9ECD21}"/>
            </a:ext>
          </a:extLst>
        </xdr:cNvPr>
        <xdr:cNvSpPr/>
      </xdr:nvSpPr>
      <xdr:spPr>
        <a:xfrm>
          <a:off x="1895475" y="476250"/>
          <a:ext cx="9324976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39182A79-F82B-4F0E-8F92-C07296085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13DEC67D-1518-49BB-B948-E9A4F40FD5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82B478AD-1614-4D97-8AF1-67A6C09983E9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B5E79358-B028-40D2-87DE-84F18D86A083}"/>
            </a:ext>
          </a:extLst>
        </xdr:cNvPr>
        <xdr:cNvSpPr/>
      </xdr:nvSpPr>
      <xdr:spPr>
        <a:xfrm>
          <a:off x="2895600" y="438150"/>
          <a:ext cx="93345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735EF487-365D-4D29-AB23-DC374D1838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0D0773F0-AB6D-4251-818D-CEE7761E74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180975</xdr:rowOff>
    </xdr:from>
    <xdr:to>
      <xdr:col>11</xdr:col>
      <xdr:colOff>38099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8A01BDE3-EFE0-4CCB-81EF-098A8BE364F7}"/>
            </a:ext>
          </a:extLst>
        </xdr:cNvPr>
        <xdr:cNvSpPr/>
      </xdr:nvSpPr>
      <xdr:spPr>
        <a:xfrm>
          <a:off x="0" y="1133475"/>
          <a:ext cx="12163424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 editAs="oneCell">
    <xdr:from>
      <xdr:col>9</xdr:col>
      <xdr:colOff>241300</xdr:colOff>
      <xdr:row>0</xdr:row>
      <xdr:rowOff>0</xdr:rowOff>
    </xdr:from>
    <xdr:to>
      <xdr:col>9</xdr:col>
      <xdr:colOff>850900</xdr:colOff>
      <xdr:row>2</xdr:row>
      <xdr:rowOff>19050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3573C4-A8CD-67CD-FB72-828E41E02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950" y="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10</xdr:col>
      <xdr:colOff>397650</xdr:colOff>
      <xdr:row>0</xdr:row>
      <xdr:rowOff>0</xdr:rowOff>
    </xdr:from>
    <xdr:to>
      <xdr:col>10</xdr:col>
      <xdr:colOff>990600</xdr:colOff>
      <xdr:row>2</xdr:row>
      <xdr:rowOff>2400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B339035-DC45-A051-2EB9-F5C4A3D07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9850" y="0"/>
          <a:ext cx="592950" cy="5929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286D76AA-03C6-476F-8491-569674A6A9A9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35BAF57B-277B-43C4-A57F-47486A2E51EF}"/>
            </a:ext>
          </a:extLst>
        </xdr:cNvPr>
        <xdr:cNvSpPr/>
      </xdr:nvSpPr>
      <xdr:spPr>
        <a:xfrm>
          <a:off x="2895600" y="438150"/>
          <a:ext cx="93345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D08B0CDA-89FB-4087-9D67-E32B06F237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59E1D62C-1D21-4ED7-9E87-FAAD1ECD7E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DDD9E0BC-B17A-43A5-A7A7-FC8014DAD0D5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86CC24FE-DB3B-4910-BE6A-D98F6FC1A161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83C73242-3B51-43B7-9AA1-0BB3AFC0E6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17AA0FCA-964E-4B2C-8029-A50F3B2A60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003F74CA-5B22-402D-844C-A75EDF9C852B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36C6C777-D75E-484B-B873-7FF003DFDCC3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882091D2-D4EC-4D72-BDD4-0D05285B82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52FB4CCD-1FD2-478D-B13C-9FD186F925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093360BA-9A37-4A6E-AFA0-F929C05DD9DA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811101CD-FD48-4AB7-98CF-5D435791B1BE}"/>
            </a:ext>
          </a:extLst>
        </xdr:cNvPr>
        <xdr:cNvSpPr/>
      </xdr:nvSpPr>
      <xdr:spPr>
        <a:xfrm>
          <a:off x="2895600" y="438150"/>
          <a:ext cx="93345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C732B640-527A-4E5E-9683-473A2E3A95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15B97A02-D42D-425D-93C4-220CA275CC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85ABF657-D08C-4B7E-9E30-E33D1E0EB8B8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0D2AA723-E188-47BE-A0AB-D4065DB97055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B2F71D15-5262-4AA6-AA2A-2F98A472BA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3B002AFB-2BEF-494E-A3A8-95D328A5D4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7049D319-79A3-4E4E-9FB6-F031FE065809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F67EBF49-505F-423B-B71D-F68697C4CF45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0846FDCA-F0D5-465C-A531-F1EB238263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8FD7440E-E971-4876-B1E0-6646E2E263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DA1E4051-9B05-4675-93EB-D69E7F1FB212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8058F619-2945-4E4F-AF29-82F2E23725EC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1D3F3AB4-6331-4002-9C26-5E7FB1111D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EBCF71AA-F563-4CFE-BFB7-555C55F20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A456EA7E-DA15-4E89-A333-F4BCAE0CB205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806EC65D-433F-4807-9AE0-328ABCDE7E50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8B0B34C1-3135-4253-A616-603067703F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362FDAB0-079C-4631-B7D1-A43CF3EAF2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39D2F92B-A4DD-4967-9CB2-87E9A47E7EB0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93247E74-FD6A-4BA4-B905-1BC0509F32A1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07FBDC75-1921-4379-AF92-18AB4D27C3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DCC89457-1EC9-41ED-B403-30C5566240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15BC9B82-7217-4412-8E1D-95840FEA209C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5CABE86C-AB62-4BDA-8880-9A8712E6CFBC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76177448-DB01-4AC3-96D7-B4819E08EE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79B37F9C-062A-4FF5-88ED-F44E8321A2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07CB1FF7-A189-4504-9D79-EA269FA2DD27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0EFB5013-5661-467A-BC9C-68E317CAD83D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B9289420-CAFB-4026-B0AF-AF965B752D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4EB0FC09-D9D1-45AB-9730-FCD5763018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546AFE97-B0EB-4CE7-9C69-7B415E4B2678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5F48A4FA-8BC8-4A6B-8071-4D7A9D62D581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63F3593B-8BF2-4BCB-9F90-86C9C667F0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A95B35D4-8DBF-4D4D-9B8B-2A254FD325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76582ADA-1A4B-4074-8B4D-6273FFE81D28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F6673EBA-A0D6-4524-9713-F99EAB20599F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BA123590-58A0-42CF-B405-07E31F12D6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0FD0DC07-90A1-4913-98E4-96EAFB69D6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DCA293CC-00C1-4A15-93D0-F7F5F53A16BE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C27D64E5-FC39-4AE0-A499-699697F1F186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20E2EDE7-17BD-470D-A8E4-C2ADBE8565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65558B61-B5B7-409B-A898-69EDA31A70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0216B052-4D94-494C-A05B-7A066401DC65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51573985-2505-4840-B71F-256D259381B0}"/>
            </a:ext>
          </a:extLst>
        </xdr:cNvPr>
        <xdr:cNvSpPr/>
      </xdr:nvSpPr>
      <xdr:spPr>
        <a:xfrm>
          <a:off x="2895600" y="438150"/>
          <a:ext cx="93345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400ABB3C-4D08-4EA5-9A85-83C800D596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EC755A0F-E446-4F0E-82B4-B98F7F94F7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A42925E9-FB60-4783-A477-8BF9F4A121E2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F14D113A-976C-444C-A7E7-EBB0CF57F006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BEBCD579-DC36-4F02-AE3C-9565AF6E32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2A8D111A-9A8A-46B3-9A00-78C726A9B6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977FA5E7-9313-4327-A7A7-1F7B9D0B342F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A3A7F8C0-C47F-4988-9C6F-EB7A617ADD16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EC411E8E-99AE-4C4F-87EA-8A58C1D8B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3DA6C23F-9375-479C-A527-74A61AD3A2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B6955F7A-98CB-41D8-94CE-06B437C85456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19A68934-CBBE-4242-9814-3341D1640669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B089AD67-E017-40E7-B538-3FFDBA3085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A7319E08-EE16-4E64-B07F-A1290C644C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3BBCDC34-AEE7-449E-8987-1528CC7F3A6B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FCA2C142-D59F-4514-A6A0-B507BB788C1A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B00EC59E-FBB9-43F8-AE97-75B57B1080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CFEC96D2-BA90-4039-A7CB-BD41181863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1212B05F-3647-40BB-91E6-09FEC031D831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DC877029-42C5-4A2D-8289-E5FD19311A8E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FBA6E2C8-2C1C-4991-AAF2-B331C8FEA5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A6EF7EDB-158A-47C2-87A9-C17278FE49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8199BC76-41A1-4026-B211-6EA5867620EC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5ABE53BD-7243-4AF7-89A2-88EB1DA5DE9C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B0A7448C-93B2-403C-91AC-5688DF47DE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CC84208B-1E8F-4AE1-BE76-427347A814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9CF90EF3-E2BF-4725-AB83-BD2EF6520DCD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B8935103-A389-4254-861D-A20F3AF033CF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959E7D07-66C3-4E74-928C-5F8EFA7620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6EC80198-BECE-41DF-9114-94C33D981A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1283D61F-B1B9-4C42-926F-FC501D67EF76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5086BCE6-699A-43B0-85D4-61AEDFBDAA8F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E100979C-9B62-4890-B201-320ABBAF77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34D0CE0F-281F-4395-85B4-DD62277F90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F48BF613-0427-4A5F-BA77-738DAF04B137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2BD54327-B941-43BD-8B19-9E157353304C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7D2CEE69-B527-4E2C-9843-5DC80FFD8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F6AB2960-3488-4532-A08B-58704255CF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9A3C0FC2-02EB-4F1B-892B-03037211CBD6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6A0F2609-049D-40F4-9F0F-B03308B57689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3C1F8E8E-30F1-4170-BB19-C726CCD361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16D4B12D-C48E-40DA-9AF0-EAAC7F545B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E9B746DE-1C27-4871-B81F-9C22E08DA897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448547EB-35A1-4045-9CC3-6D56E34C0D95}"/>
            </a:ext>
          </a:extLst>
        </xdr:cNvPr>
        <xdr:cNvSpPr/>
      </xdr:nvSpPr>
      <xdr:spPr>
        <a:xfrm>
          <a:off x="2895600" y="438150"/>
          <a:ext cx="93345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4A200EFC-2139-4618-914B-7CEDEF0DCB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410AFB31-D1C4-42E5-97DD-F8486953AE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166E33B2-8725-4347-B1D3-7BF53A662160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230EB3E0-1117-4118-9AAA-B23B8E63D02E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3F201771-7BDF-47D6-AC1C-8C8821603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D8E02592-B48A-4998-8390-871A961E1B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AC1D8A58-5823-4E4F-B931-A282E31F67C4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F0F314D5-3F45-4008-85EC-27F3BCF58D7A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D4BDBFDA-D971-4BFB-A98B-13287A9F18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40994732-D73C-40C6-A748-A4571C93D0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8634FF8E-B342-464C-8A9E-D40E90A5EDDD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42E3B772-9273-48C2-B33B-4F3E0ABF40B8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615A64C3-9967-4C55-88DA-52749344EE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925E0D03-16A9-4844-9BF7-CCA261835C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B3C55040-45BB-419C-9701-19E1CDC0C5AD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D5311E50-7759-4D9C-AAE8-693BFBC4F989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85CB50E1-18FB-478C-A8F7-4EBCB6553B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3BEE2CED-79CD-4BFB-BC74-6F7B648402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5BB6F414-E4A8-4217-82AF-3DED43F344DC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7E5CA5DE-F373-4140-98CF-E9236D1FD44E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61236838-6EBD-4DD1-B4A2-D9B1AEEEB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B87B1C99-A135-4010-B11E-D3BBC2A5CC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30A44EE8-5B87-4E07-9DFF-8DB7DF6EB924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FE1F257B-E1F1-49C2-96F1-C615F7F0442D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3B3DC513-C9F2-4202-9664-B8CD3FA904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CA8FDB1A-AEEE-4D79-84D4-6505D75466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C82E87D1-4161-4A73-ACB7-FDD1018425F8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DFB774DD-3886-48BA-99EA-7CD822962FA3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6749B350-6983-4B51-8F6C-EA2EFB2AE0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A1C57F20-404E-4F17-847F-A72B1F33CC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CB964190-249C-46B4-BDFA-072B759AC70E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C07AA1C9-4CA8-498E-9CF0-02246F21A1E3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7AB81170-E9CC-415C-B59B-2C8748C8E0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7D958A37-C6D8-4606-A33C-4525466356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1A6E2530-F789-465F-9D9D-D9AE225E1EB8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D8EF8C80-456E-4189-9F07-E49AA3D456EE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CBED4329-25E7-4C21-BA9F-7981CC9963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E51A73FE-A96A-45EB-99F7-088A5F65A6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3ECF1309-7DEF-4F22-B4ED-5C109B25685A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1D327550-B9B0-4447-8AA1-40ABC083CA21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F94ADC2A-3C50-49FE-896E-2C9D370722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B54993D6-082E-4591-AB5F-880EC6D52F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794F930E-CEBC-4F0D-8D42-76D178E49EB3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963416F5-CF35-4468-90A6-05504A45C8A7}"/>
            </a:ext>
          </a:extLst>
        </xdr:cNvPr>
        <xdr:cNvSpPr/>
      </xdr:nvSpPr>
      <xdr:spPr>
        <a:xfrm>
          <a:off x="2895600" y="438150"/>
          <a:ext cx="93345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78A6D928-D07D-4934-8E60-2826E7D7BC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7CCE34DF-D2C8-45BB-8B28-99FD75F5EC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D0E3B47F-0BCF-49DE-B61C-DB95D51FEAFF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420B3414-49DC-498E-99C5-5A2B07441CCB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3C4D6917-DD8F-4B1F-9AD0-A5C1E7FA69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76E58557-8DFD-4B69-8CFE-41DC116E63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47D51FDB-4CB0-4F17-8A25-F38AF8CC646F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4DE68CF1-486B-4822-9D40-E19E49FA5B42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DE9A9036-E630-45BD-9480-2316C6A024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5736407E-67B2-4271-96C5-C14AFA7261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2F6A6227-44F4-4B05-B6DE-1457C73D832B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7371F62C-0A57-408B-96A4-4895D5D791B9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334E1153-41BA-471A-8E4E-6D5B4C97F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EA053BA0-5FBF-4238-9B3B-FABD602C78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9C1D5196-928D-4315-A9E9-50F589DBF6DB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C6FB7D36-635B-481B-92F3-4AA71CED3B2A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ADB7DE17-1646-44EA-A5BE-5135AFBFD1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23D9F9E2-EA1F-4892-9126-4265882867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1B6C7D56-C702-4295-8C51-F830625D3BEC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DFC79682-991C-4964-9386-8D65F0C2FFD8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7CC4AE24-F9CD-4DD0-AB48-69F9290F72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63CC7FDA-21B1-4A78-8A15-CC8D413D6B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E8C9F4D1-8C4C-4768-AB1F-29B15360F856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95D46EAE-EF44-4EDD-8C24-1BEEC4AE1BD0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55398B2D-808E-4582-BC1E-7D87204D9A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8D869F26-6219-4AB1-BC4A-B15C751C4F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82B4243E-4BC1-47E8-B311-5001FBFB613C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4F3FF931-4F94-4A96-B379-A3A39CC3FC8B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0A34B4DF-F648-4502-B567-70A8F0985F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521A03B2-2980-4492-A518-9534175E4E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6A3C5F6E-3FF5-484C-A5EC-9149137DDEDB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B4505EE7-8162-4B33-A9AC-7CAF636309C4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65C5D6F5-FBDB-4A81-91FB-18BE905074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0922B7E4-EEBE-4657-A7AF-CF1A3CBD9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5B9F5EE5-0793-4D85-8F3E-7D55F5EC422D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E7B17C1A-2DF2-4BF0-A50D-7F0B129202A1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7DCB72CB-B8FD-4760-924B-35ACA2FA06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E690D77D-7ADF-417B-AC9E-83EA4FBB85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99A9ADCA-95A3-42C9-86E8-8E1296FE2704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5EE7F179-8034-4A39-A1C9-C2A3AD039B48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2E9ADFA5-DF05-4125-869A-00D8816B30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1D4DCE9E-A852-456D-8CD6-2494FC561C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FACFF332-CA4A-49EF-897D-E6B727E4E694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282C0DAF-6C4A-4A8C-82B6-5B992C9A251B}"/>
            </a:ext>
          </a:extLst>
        </xdr:cNvPr>
        <xdr:cNvSpPr/>
      </xdr:nvSpPr>
      <xdr:spPr>
        <a:xfrm>
          <a:off x="2895600" y="438150"/>
          <a:ext cx="93345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C6A22B59-9C31-42DD-A448-BCBB84FD9B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16E3EF7C-7C06-4A7F-81C5-6DBAE85739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4D671F0C-46AE-4D6F-A73D-CEC93201D078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46EAB395-1D10-4906-A939-18B12D607FE7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C5582608-2BAF-4880-A16B-CFF26F06E7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3940DE25-72CE-40E0-B7C1-8FE3632DBF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CBFEA145-B0E0-4B89-A3A6-8A9C694015D1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036C7D3B-722B-4D87-A5BA-E3402244EC1F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BC77C148-1CC1-4ADB-8540-0521257184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697E6389-3034-43E5-B456-470A880F7C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E1E230D7-FA73-4D09-ABEF-5287389C3F9F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524BBEC1-8514-4227-B9CC-17DE12EE2657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5F92519D-CE1A-4950-BBE6-9C12803C1C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8C2BB4D2-C744-43BE-B3AE-9E6B4D5F11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C3681A6B-A4B5-4F24-9446-7C929D341812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755CD1B5-F196-4419-88C1-DA7313A72AE9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EC93B2C4-BB4E-417C-B881-1259B1F20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072C97FD-C1A5-4DC6-9190-8EDAD34D0C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C7FCD941-917D-4B48-9789-ADE43D10C55F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6AC400A0-2155-4B50-BBDA-3C7F81ECE8BC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C3CE06A2-03CD-4E54-AC41-8DCF1FF105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012BB874-4DF7-430B-8A0B-84D0FB666D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2CE4114E-DDE7-44AB-B8CC-D10E4C357836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C37BD369-2611-4EF2-9B73-15B9F62485D0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A5B1A01E-0299-4A36-B7F3-B811E664EB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810548EE-CC90-4F4F-BAA3-F48B7374F7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5E3DF552-CCAF-4C8E-BC5F-4F1F0AA5272E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B871A811-A7F9-4978-B239-43B0CEB0FB81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797F8E6A-A37F-46C8-A9D8-81F19E6094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E956B0A0-E6A8-4A88-999F-5BD4E1710C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67B71E49-A581-4612-ADE9-61B0BEC8015C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401C44EC-9A84-4574-9CA2-53B97AED734C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D382E710-F4B1-4A24-A112-E1B6659518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B03ADE12-A41C-4626-BB16-A1BB02CEFD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EE3FD28B-7CEA-463E-AC3E-082F085BF364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8E752B7C-4FF4-4AE7-B4D8-79407A2696EA}"/>
            </a:ext>
          </a:extLst>
        </xdr:cNvPr>
        <xdr:cNvSpPr/>
      </xdr:nvSpPr>
      <xdr:spPr>
        <a:xfrm>
          <a:off x="2895600" y="4381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6846EA22-A2A6-476B-96B4-21E1957A9F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8E3BAEE3-DB6B-4656-83E1-529669055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A3E22A8E-6FB4-4F98-BC92-C2B11CF292C7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60A34E67-5C8D-497D-96D8-79C0F096A0A6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DAD63C73-51DB-4FCD-8321-9F8C4186A7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98D26ED9-2720-4D5F-8933-664CE734D6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1CA4F46B-F611-440E-AB56-D002CFFF4E30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191B3514-AE1F-4742-94EA-D17894C676C3}"/>
            </a:ext>
          </a:extLst>
        </xdr:cNvPr>
        <xdr:cNvSpPr/>
      </xdr:nvSpPr>
      <xdr:spPr>
        <a:xfrm>
          <a:off x="2895600" y="438150"/>
          <a:ext cx="93345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68DFB89C-663C-44B1-AAE9-1A66D771A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D1F1EE20-6E75-48A0-9312-7E0CFACD9C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4A4249F4-0164-4FDD-B4D0-E18F7E690CE7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A12E7E9D-5D6D-486E-8372-1B89510CA476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2BDC0265-F16D-4966-BAA6-8AC124FF28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647F755E-3685-432E-9CBC-874C8C0061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682AF5CE-498D-4555-B5B1-C3BDCAF8CE15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5DEEAB64-A128-4DB7-903B-5B816C911DA1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0F3A2C05-7CAC-4A52-8D8E-F38B9E976B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A50B0902-73A9-4EA8-A681-81BE6D015C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6A893830-F99B-486F-9F9F-6CE4EF76A323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9347F78A-CA95-4D06-B53A-BA3A712D3977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992B893E-7656-4EF4-AE53-D7B960D36D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68E87053-A607-4D9F-A7D8-C20CB36B4A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74D79331-E88B-4B16-996E-5B9F8C846478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BC6C319D-C88F-483B-8E15-3E655A403385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495E34BC-7B87-41C7-B6DF-C2F55C6538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F89EDCA0-537E-429D-8B08-A3FFDCAFAD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CF824B7C-0A60-4FFA-B591-80DB5A3B51C6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E8109DE5-586D-4060-8565-246DEFC5A213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5D6F1055-DCBC-4571-BBCD-FA49A3A2FD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7F8A0DC0-CDD9-475D-A977-A76C8D89C8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1407768D-1FBA-42DB-973D-B86C3AEAA08B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2C84DA64-803B-48A4-85A2-B2CCFBE63D7E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6A0966B6-7D67-4DE1-A0CB-5396254E23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0101BEC0-3477-447A-8122-6518ECBF82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6F3DE71C-B429-4CEC-8C88-8390F5651467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FCFC9B1B-485F-447B-AB82-6C13821F8154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1FF92D96-01E1-4502-8078-C0EE0AB7DB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D18B5448-031D-48CA-8950-6CCC239619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CAD35F43-EAAB-4265-BFF4-5455A534AFE9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74C37894-41E3-4983-9442-F9ACD9CAC590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852FEA1A-C697-4196-91DB-0DEE29940B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89937C10-ADB5-4064-BBAE-7238EDEE52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2259596B-8375-4B22-9322-E60AB8607631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3218CD63-320E-4C85-9C4A-4BF1F3932945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A8D8AE24-D567-42AF-9F57-7833731462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C2060CA3-09A6-4690-B16D-575BB97DFB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88DA73CD-1924-4D46-9053-2E5E72479585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0B9CA8D6-23C3-489B-AED0-9F289DAD9119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5E7D3278-682C-4B6B-8B1E-05F73A9857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F9582F40-52E8-4865-99C6-9AFD09A8F3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78C451F2-AC39-49EB-AF3E-0ED4495BF8E5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D9631C28-59E9-4392-BA72-AD7F5988FF8C}"/>
            </a:ext>
          </a:extLst>
        </xdr:cNvPr>
        <xdr:cNvSpPr/>
      </xdr:nvSpPr>
      <xdr:spPr>
        <a:xfrm>
          <a:off x="2895600" y="438150"/>
          <a:ext cx="93345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9B52CA01-18D3-4D8F-BF45-B028118061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4A5F8571-6063-4636-A804-ED0B61CDC4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41D0F298-3933-4804-AD34-3B5C6957E53E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21CC8C59-6F76-4743-84FB-B6D4FB3256B8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E18A188A-783D-4D0D-A839-0B2E097B66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C04C19B8-6976-4407-9512-203940EA63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ABCB4B42-232E-414B-BD2E-D4281C70E3B8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C12F03D2-091C-4162-97F1-71461443D664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B73D5A92-0DAF-438B-A2C6-8082EAD6CC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D9AD5346-5C3A-45D4-A998-BB8074071D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549D6F12-EF26-4BBA-8324-9132D9ADC793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37F371DF-765D-403E-87CF-178E781DE654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B188E4AD-512F-4883-9BD1-E2E266AE8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814FFD33-7087-422A-9CCC-FE3C0E8A04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3B55DF08-12E3-426D-8400-0AEFDC5710D8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5523BC5B-E6EC-4FC1-95DE-73C4D907EE1C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CE332849-16FD-478E-BFA0-E72F717469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A15A1E4C-1D98-4089-9377-503D800A9B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C1D49C84-CFD5-4235-B25A-A88C5596FEB0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362E246D-03A7-4CD1-9DA3-EF01ABB3D4EB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16382F35-1923-4C71-8765-6C5E66E60D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11913EEE-47B7-4C39-BD7C-1B67FA2A6A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3DEA8F35-EAC9-4DAF-AA6A-6495573F4F45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9DAD15F9-02B1-4B2B-988C-45A89E404826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A917A016-6104-49B8-9F59-178285ED5C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DF9FF8A3-986D-4C56-87DA-F7F55B495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9191C8F2-B831-41F2-B9E0-C6AB040F0BAE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E8ECFA35-9683-4AF5-89A7-186CE654299B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29D7CF6E-CAEB-42DF-AA6F-E922C52A67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F844A198-50EA-4AC6-97EB-28DDBA9511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E6C15DD8-3F73-48E6-A396-87BEC756959B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38652AA6-5523-46D0-B744-0BA9FF6B1B57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2FC2C42D-C369-464C-B382-731A980D0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E0537178-224D-4E1D-A3C9-3A39684B48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4E42E1A2-FBBF-489C-929E-B13B687351CA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4F6F3EAD-6631-452E-8F5A-7BEC199339A9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1EABA621-A1AE-40BC-BC9A-56587702F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22E0F168-8A02-466F-9E3D-F7FA487BA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B4E6FA3B-A8C6-4487-B1DE-3D079C5F4FBA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5F8902CE-E701-4E6A-9D0B-EEF3E4E30042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04482C84-BF79-4B83-94A6-07BF447879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C3FC703A-0CA1-4A2F-8582-5AEA6BD66B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BDEA8F2A-FCB9-4D45-9435-1AADF45D49F9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0</xdr:colOff>
      <xdr:row>2</xdr:row>
      <xdr:rowOff>57150</xdr:rowOff>
    </xdr:from>
    <xdr:to>
      <xdr:col>10</xdr:col>
      <xdr:colOff>381001</xdr:colOff>
      <xdr:row>4</xdr:row>
      <xdr:rowOff>38100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17FE49E2-113D-4609-8718-F5991A1938C6}"/>
            </a:ext>
          </a:extLst>
        </xdr:cNvPr>
        <xdr:cNvSpPr/>
      </xdr:nvSpPr>
      <xdr:spPr>
        <a:xfrm>
          <a:off x="2895600" y="438150"/>
          <a:ext cx="93345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05512144-50FB-4B86-BF27-8958D23B36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3C38E318-F918-4D67-AF49-3F32134226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EC3E45B5-6E8F-44FE-ACDB-1ED1D6BC6937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9140A128-BF8F-4B9D-BF84-B57FFA5FBCE1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616EC0DC-8643-44FF-AC98-694F1FBEA0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3C5EE785-F74A-4C87-ACDC-1BE65172A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1550AE94-8536-4CE0-B56B-A6F121DE0D82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8B43EC2D-83FD-47A4-87D7-7696C56098A5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18F5CB2E-54D3-466B-9F8C-0D54BEFF55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A33511E5-837B-4053-BF6B-8176F8CF3A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E6449193-53C0-4CCE-93DB-9BFAFAB4DA08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EA143C0E-7FB9-40D0-967D-D703B56DE339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530E2D3A-1637-4B81-BA6C-885F02EB53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AE21B84B-2C30-469F-A364-87179CF2D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403B1785-245B-475A-A3E3-6B257A4C6085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45C3A11B-314E-4D51-9BF2-9266FE1E64EE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7B991749-D0B1-401C-9BC0-D25A8E3B5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FB82D680-8965-4BBE-8106-951F74093B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613CF694-5B7D-480C-A08A-325742362A55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A84B88EC-7F96-4F37-A4A9-C6975EC4E853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9C6E83FC-1B8D-4DD9-91AF-985D418735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BFD7E4C6-9EB9-43B3-93B8-35E67BDF44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5AF1CD8F-622D-453E-A1AE-0D5617189F1C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68D7E8CD-CF78-4147-AE40-DF3BC42E646E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C2C0A88A-A33A-4091-9F95-278B3C53DD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295B0E3A-E000-4724-80D9-EF6F9FC4B8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C6B14D3A-4C50-4BDB-9DDB-2D16FDB19914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51B29F61-15D1-4F41-BA39-34AF6E28E791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4C9936C1-03FD-4B28-9C88-D7BAC2EF8C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468ACE74-992D-476B-AEEC-2ADB066A7A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4A07798E-E479-447E-877F-F18D600AE7A4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53766DAD-C69D-4A50-9281-25A467242DC1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35D44A85-54B9-4368-B589-81B5BEDCEF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534F1459-BD27-459D-A507-2245915648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AE5F7F1C-0DDA-4E09-B679-8206EF948164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F870A795-296E-46DE-B059-B4F7AC94E9A3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B628F29D-4445-4F34-87EE-A5C675CCA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F6460429-4EA8-4686-ACA9-D504C9D7AA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60326</xdr:colOff>
      <xdr:row>5</xdr:row>
      <xdr:rowOff>180975</xdr:rowOff>
    </xdr:from>
    <xdr:to>
      <xdr:col>9</xdr:col>
      <xdr:colOff>114301</xdr:colOff>
      <xdr:row>7</xdr:row>
      <xdr:rowOff>161925</xdr:rowOff>
    </xdr:to>
    <xdr:sp macro="" textlink="">
      <xdr:nvSpPr>
        <xdr:cNvPr id="2" name="2 Redondear rectángulo de esquina del mismo lado">
          <a:extLst>
            <a:ext uri="{FF2B5EF4-FFF2-40B4-BE49-F238E27FC236}">
              <a16:creationId xmlns:a16="http://schemas.microsoft.com/office/drawing/2014/main" id="{C4E4038F-22D3-4BDF-AE5B-3E5C26B093A2}"/>
            </a:ext>
          </a:extLst>
        </xdr:cNvPr>
        <xdr:cNvSpPr/>
      </xdr:nvSpPr>
      <xdr:spPr>
        <a:xfrm>
          <a:off x="3717926" y="1133475"/>
          <a:ext cx="6626225" cy="4000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0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Finanzas</a:t>
          </a:r>
        </a:p>
      </xdr:txBody>
    </xdr:sp>
    <xdr:clientData/>
  </xdr:twoCellAnchor>
  <xdr:twoCellAnchor>
    <xdr:from>
      <xdr:col>2</xdr:col>
      <xdr:colOff>28575</xdr:colOff>
      <xdr:row>2</xdr:row>
      <xdr:rowOff>95250</xdr:rowOff>
    </xdr:from>
    <xdr:to>
      <xdr:col>10</xdr:col>
      <xdr:colOff>409576</xdr:colOff>
      <xdr:row>4</xdr:row>
      <xdr:rowOff>76200</xdr:rowOff>
    </xdr:to>
    <xdr:sp macro="" textlink="">
      <xdr:nvSpPr>
        <xdr:cNvPr id="3" name="2 Redondear rectángulo de esquina del mismo lado">
          <a:extLst>
            <a:ext uri="{FF2B5EF4-FFF2-40B4-BE49-F238E27FC236}">
              <a16:creationId xmlns:a16="http://schemas.microsoft.com/office/drawing/2014/main" id="{3DD27FCB-5AF8-47B0-A17C-B9189A1D6DAF}"/>
            </a:ext>
          </a:extLst>
        </xdr:cNvPr>
        <xdr:cNvSpPr/>
      </xdr:nvSpPr>
      <xdr:spPr>
        <a:xfrm>
          <a:off x="2924175" y="476250"/>
          <a:ext cx="8763001" cy="361950"/>
        </a:xfrm>
        <a:prstGeom prst="round2SameRect">
          <a:avLst/>
        </a:prstGeom>
        <a:solidFill>
          <a:srgbClr val="336699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es-MX" sz="2400" b="1">
              <a:solidFill>
                <a:schemeClr val="lt1"/>
              </a:solidFill>
              <a:latin typeface="Futura Lt BT" panose="020B0402020204090303" pitchFamily="34" charset="0"/>
              <a:ea typeface="+mn-ea"/>
              <a:cs typeface="+mn-cs"/>
            </a:rPr>
            <a:t>REPORTE DIARIO</a:t>
          </a:r>
        </a:p>
      </xdr:txBody>
    </xdr:sp>
    <xdr:clientData/>
  </xdr:two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4" name="Imagen 3">
          <a:extLst>
            <a:ext uri="{FF2B5EF4-FFF2-40B4-BE49-F238E27FC236}">
              <a16:creationId xmlns:a16="http://schemas.microsoft.com/office/drawing/2014/main" id="{D669EC49-EB5B-4D70-8B1B-1C31EA1848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</xdr:row>
      <xdr:rowOff>76200</xdr:rowOff>
    </xdr:from>
    <xdr:ext cx="666750" cy="609000"/>
    <xdr:pic>
      <xdr:nvPicPr>
        <xdr:cNvPr id="5" name="Imagen 4">
          <a:extLst>
            <a:ext uri="{FF2B5EF4-FFF2-40B4-BE49-F238E27FC236}">
              <a16:creationId xmlns:a16="http://schemas.microsoft.com/office/drawing/2014/main" id="{0A75DB3C-9F43-4022-A6B1-C13ABAB31B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33" b="9437"/>
        <a:stretch/>
      </xdr:blipFill>
      <xdr:spPr>
        <a:xfrm>
          <a:off x="857250" y="266700"/>
          <a:ext cx="666750" cy="609000"/>
        </a:xfrm>
        <a:prstGeom prst="rect">
          <a:avLst/>
        </a:prstGeom>
      </xdr:spPr>
    </xdr:pic>
    <xdr:clientData/>
  </xdr:one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4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14.xml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5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15.xml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6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16.xml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7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17.xml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8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18.xml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9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1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0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20.xml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1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21.xml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2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2.xml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3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23.xml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4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24.xml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5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25.xml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drawing" Target="../drawings/drawing126.xml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drawing" Target="../drawings/drawing127.xml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drawing" Target="../drawings/drawing128.xml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drawing" Target="../drawings/drawing12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drawing" Target="../drawings/drawing130.xml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1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31.xml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drawing" Target="../drawings/drawing132.xml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drawing" Target="../drawings/drawing133.xml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drawing" Target="../drawings/drawing134.xml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drawing" Target="../drawings/drawing135.xml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drawing" Target="../drawings/drawing136.xml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7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37.xml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drawing" Target="../drawings/drawing138.xml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drawing" Target="../drawings/drawing13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drawing" Target="../drawings/drawing140.xml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drawing" Target="../drawings/drawing141.xml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drawing" Target="../drawings/drawing142.xml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drawing" Target="../drawings/drawing143.xml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drawing" Target="../drawings/drawing144.xml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drawing" Target="../drawings/drawing145.xml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drawing" Target="../drawings/drawing146.xml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drawing" Target="../drawings/drawing147.xml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drawing" Target="../drawings/drawing148.xml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drawing" Target="../drawings/drawing14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drawing" Target="../drawings/drawing150.xml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drawing" Target="../drawings/drawing151.xml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drawing" Target="../drawings/drawing152.xml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drawing" Target="../drawings/drawing153.xml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drawing" Target="../drawings/drawing154.xml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5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55.xml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drawing" Target="../drawings/drawing156.xml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drawing" Target="../drawings/drawing157.xml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drawing" Target="../drawings/drawing158.xml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drawing" Target="../drawings/drawing15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6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58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96.xml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97.xml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F0A37-51BE-4C64-87E5-5370B4BED585}">
  <dimension ref="B6:P60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79" customWidth="1"/>
    <col min="7" max="7" width="15.7265625" customWidth="1"/>
    <col min="8" max="8" width="19.7265625" customWidth="1"/>
    <col min="9" max="9" width="1.453125" customWidth="1"/>
    <col min="10" max="10" width="24.26953125" customWidth="1"/>
    <col min="11" max="11" width="22.26953125" bestFit="1" customWidth="1"/>
    <col min="12" max="12" width="20.26953125" bestFit="1" customWidth="1"/>
    <col min="13" max="13" width="16.269531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7"/>
      <c r="G6" s="5"/>
      <c r="H6" s="5"/>
      <c r="I6" s="5"/>
      <c r="J6" s="5"/>
      <c r="K6" s="5"/>
    </row>
    <row r="7" spans="2:11">
      <c r="B7" s="1"/>
      <c r="C7" s="1"/>
      <c r="D7" s="1"/>
      <c r="E7" s="1"/>
      <c r="F7" s="2"/>
      <c r="G7" s="1"/>
      <c r="H7" s="1"/>
      <c r="I7" s="1"/>
      <c r="J7" s="1"/>
      <c r="K7" s="1"/>
    </row>
    <row r="8" spans="2:11">
      <c r="B8" s="1"/>
      <c r="C8" s="1"/>
      <c r="D8" s="1"/>
      <c r="E8" s="1"/>
      <c r="F8" s="2"/>
      <c r="G8" s="1"/>
      <c r="H8" s="1"/>
      <c r="I8" s="4"/>
      <c r="J8" s="1"/>
      <c r="K8" s="1"/>
    </row>
    <row r="9" spans="2:11">
      <c r="B9" s="1"/>
      <c r="C9" s="1"/>
      <c r="D9" s="1"/>
      <c r="E9" s="1"/>
      <c r="F9" s="2"/>
      <c r="G9" s="1"/>
      <c r="H9" s="1"/>
      <c r="I9" s="4"/>
      <c r="J9" s="1"/>
      <c r="K9" s="1"/>
    </row>
    <row r="10" spans="2:11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2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2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511642.47</v>
      </c>
      <c r="F14" s="18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389891.73</v>
      </c>
      <c r="F15" s="102">
        <f>E15+E16+E17</f>
        <v>511642.47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30409.35</v>
      </c>
      <c r="F16" s="102">
        <v>90000</v>
      </c>
      <c r="G16" s="22">
        <v>12888.39</v>
      </c>
      <c r="H16" s="23" t="s">
        <v>8</v>
      </c>
      <c r="I16" s="24"/>
      <c r="J16" s="25">
        <v>11639.24</v>
      </c>
      <c r="K16" s="26" t="s">
        <v>9</v>
      </c>
    </row>
    <row r="17" spans="2:14">
      <c r="B17" s="352" t="s">
        <v>6</v>
      </c>
      <c r="C17" s="353"/>
      <c r="D17" s="354"/>
      <c r="E17" s="28">
        <f>G16+G17+G18</f>
        <v>91341.39</v>
      </c>
      <c r="F17" s="102">
        <f>F15-F16</f>
        <v>421642.47</v>
      </c>
      <c r="G17" s="22">
        <v>64235.41</v>
      </c>
      <c r="H17" s="29" t="s">
        <v>10</v>
      </c>
      <c r="I17" s="30"/>
      <c r="J17" s="25">
        <v>12839.22</v>
      </c>
      <c r="K17" s="31" t="s">
        <v>10</v>
      </c>
      <c r="L17" s="13"/>
    </row>
    <row r="18" spans="2:14">
      <c r="B18" s="355" t="s">
        <v>11</v>
      </c>
      <c r="C18" s="356"/>
      <c r="D18" s="357"/>
      <c r="E18" s="20">
        <f>G28+G30+G29</f>
        <v>117547.15000000001</v>
      </c>
      <c r="F18" s="103"/>
      <c r="G18" s="22">
        <v>14217.59</v>
      </c>
      <c r="H18" s="29" t="s">
        <v>12</v>
      </c>
      <c r="I18" s="30"/>
      <c r="J18" s="25">
        <v>13004.55</v>
      </c>
      <c r="K18" s="31" t="s">
        <v>12</v>
      </c>
      <c r="L18" s="32"/>
    </row>
    <row r="19" spans="2:14">
      <c r="B19" s="344" t="s">
        <v>13</v>
      </c>
      <c r="C19" s="345"/>
      <c r="D19" s="346"/>
      <c r="E19" s="20">
        <v>19768102.170000002</v>
      </c>
      <c r="F19" s="102"/>
      <c r="G19" s="33"/>
      <c r="H19" s="34"/>
      <c r="I19" s="30"/>
      <c r="J19" s="25">
        <v>352408.72</v>
      </c>
      <c r="K19" s="31" t="s">
        <v>14</v>
      </c>
      <c r="L19" s="13"/>
    </row>
    <row r="20" spans="2:14">
      <c r="B20" s="358" t="s">
        <v>15</v>
      </c>
      <c r="C20" s="359"/>
      <c r="D20" s="360"/>
      <c r="E20" s="35">
        <f>SUM(E21:E22)</f>
        <v>7192</v>
      </c>
      <c r="F20" s="104"/>
      <c r="G20" s="361" t="s">
        <v>16</v>
      </c>
      <c r="H20" s="362"/>
      <c r="I20" s="36"/>
      <c r="J20" s="37"/>
      <c r="K20" s="38"/>
      <c r="L20" s="39"/>
    </row>
    <row r="21" spans="2:14">
      <c r="B21" s="40"/>
      <c r="C21" s="41"/>
      <c r="D21" s="41"/>
      <c r="E21" s="43">
        <v>7192</v>
      </c>
      <c r="F21" s="104"/>
      <c r="G21" s="44">
        <v>18441.96</v>
      </c>
      <c r="H21" s="29" t="s">
        <v>10</v>
      </c>
      <c r="I21" s="30"/>
      <c r="J21" s="37"/>
      <c r="K21" s="45"/>
      <c r="L21" s="39"/>
    </row>
    <row r="22" spans="2:14">
      <c r="B22" s="40"/>
      <c r="C22" s="41"/>
      <c r="D22" s="42"/>
      <c r="E22" s="43"/>
      <c r="F22" s="104"/>
      <c r="G22" s="44">
        <v>11967.39</v>
      </c>
      <c r="H22" s="29" t="s">
        <v>18</v>
      </c>
      <c r="I22" s="30"/>
      <c r="J22" s="50"/>
      <c r="K22" s="38"/>
      <c r="L22" s="39"/>
    </row>
    <row r="23" spans="2:14" ht="15" thickBot="1">
      <c r="B23" s="46" t="s">
        <v>17</v>
      </c>
      <c r="C23" s="47"/>
      <c r="D23" s="48"/>
      <c r="E23" s="49">
        <v>4828.46</v>
      </c>
      <c r="F23" s="104"/>
      <c r="G23" s="51"/>
      <c r="H23" s="34"/>
      <c r="I23" s="30"/>
      <c r="J23" s="52"/>
      <c r="K23" s="53"/>
      <c r="L23" s="39"/>
      <c r="N23" t="s">
        <v>20</v>
      </c>
    </row>
    <row r="24" spans="2:14" ht="15" thickBot="1">
      <c r="B24" s="366" t="s">
        <v>19</v>
      </c>
      <c r="C24" s="367"/>
      <c r="D24" s="368"/>
      <c r="E24" s="49">
        <v>5659.5</v>
      </c>
      <c r="F24" s="61"/>
      <c r="G24" s="331" t="s">
        <v>21</v>
      </c>
      <c r="H24" s="332"/>
      <c r="I24" s="332"/>
      <c r="J24" s="332"/>
      <c r="K24" s="333"/>
      <c r="L24" s="39"/>
    </row>
    <row r="25" spans="2:14">
      <c r="B25" s="344" t="s">
        <v>50</v>
      </c>
      <c r="C25" s="345"/>
      <c r="D25" s="346"/>
      <c r="E25" s="49">
        <v>55000</v>
      </c>
      <c r="F25" s="61"/>
      <c r="G25" s="54"/>
      <c r="H25" s="55"/>
      <c r="I25" s="56"/>
      <c r="J25" s="57"/>
      <c r="K25" s="58"/>
      <c r="L25" s="39"/>
    </row>
    <row r="26" spans="2:14">
      <c r="B26" s="344" t="s">
        <v>22</v>
      </c>
      <c r="C26" s="345"/>
      <c r="D26" s="346"/>
      <c r="E26" s="49">
        <v>45684.4</v>
      </c>
      <c r="F26" s="61"/>
      <c r="G26" s="347" t="s">
        <v>5</v>
      </c>
      <c r="H26" s="348"/>
      <c r="I26" s="59"/>
      <c r="J26" s="60"/>
      <c r="K26" s="45"/>
      <c r="L26" s="61"/>
    </row>
    <row r="27" spans="2:14">
      <c r="B27" s="344" t="s">
        <v>23</v>
      </c>
      <c r="C27" s="345"/>
      <c r="D27" s="346"/>
      <c r="E27" s="49">
        <v>0</v>
      </c>
      <c r="F27" s="13">
        <v>1000</v>
      </c>
      <c r="G27" s="22">
        <f>11524.32-9525</f>
        <v>1999.3199999999997</v>
      </c>
      <c r="H27" s="62" t="s">
        <v>9</v>
      </c>
      <c r="I27" s="59"/>
      <c r="J27" s="60"/>
      <c r="K27" s="45"/>
      <c r="L27" s="61"/>
    </row>
    <row r="28" spans="2:14">
      <c r="B28" s="344" t="s">
        <v>24</v>
      </c>
      <c r="C28" s="345"/>
      <c r="D28" s="346"/>
      <c r="E28" s="49">
        <v>0</v>
      </c>
      <c r="F28" s="104">
        <v>0</v>
      </c>
      <c r="G28" s="22">
        <v>0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4">
      <c r="B29" s="344" t="s">
        <v>25</v>
      </c>
      <c r="C29" s="345"/>
      <c r="D29" s="346"/>
      <c r="E29" s="49">
        <v>0</v>
      </c>
      <c r="F29" s="104">
        <v>1000</v>
      </c>
      <c r="G29" s="67">
        <v>1257.8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4" ht="15" thickBot="1">
      <c r="B30" s="363" t="s">
        <v>29</v>
      </c>
      <c r="C30" s="364"/>
      <c r="D30" s="365"/>
      <c r="E30" s="66">
        <v>186967.76</v>
      </c>
      <c r="F30" s="104">
        <v>115000</v>
      </c>
      <c r="G30" s="71">
        <v>116289.35</v>
      </c>
      <c r="H30" s="72" t="s">
        <v>12</v>
      </c>
      <c r="I30" s="73"/>
      <c r="J30" s="74" t="s">
        <v>32</v>
      </c>
      <c r="K30" s="75" t="s">
        <v>33</v>
      </c>
      <c r="L30" s="61"/>
    </row>
    <row r="31" spans="2:14">
      <c r="B31" s="69"/>
      <c r="C31" s="69"/>
      <c r="D31" s="70"/>
      <c r="E31" s="101"/>
      <c r="F31" s="104">
        <f>SUM(F27:F30)</f>
        <v>117000</v>
      </c>
      <c r="G31" s="76"/>
      <c r="H31" s="76"/>
      <c r="I31" s="76"/>
      <c r="J31" s="76"/>
      <c r="K31" s="1"/>
      <c r="L31" s="77"/>
    </row>
    <row r="34" spans="5:7">
      <c r="E34" s="78" t="s">
        <v>48</v>
      </c>
      <c r="F34" s="78"/>
    </row>
    <row r="35" spans="5:7">
      <c r="E35" s="78"/>
      <c r="F35" s="78"/>
    </row>
    <row r="36" spans="5:7">
      <c r="E36" s="83" t="s">
        <v>34</v>
      </c>
      <c r="F36" s="88">
        <f>F17</f>
        <v>421642.47</v>
      </c>
    </row>
    <row r="37" spans="5:7">
      <c r="E37" s="83" t="s">
        <v>35</v>
      </c>
      <c r="F37" s="88">
        <f>+F31</f>
        <v>117000</v>
      </c>
    </row>
    <row r="38" spans="5:7" s="61" customFormat="1" ht="15" customHeight="1">
      <c r="E38" s="83" t="s">
        <v>36</v>
      </c>
      <c r="F38" s="88">
        <v>0</v>
      </c>
      <c r="G38" s="8"/>
    </row>
    <row r="39" spans="5:7" s="61" customFormat="1" ht="15" customHeight="1">
      <c r="E39" s="83" t="s">
        <v>37</v>
      </c>
      <c r="F39" s="88">
        <v>0</v>
      </c>
      <c r="G39" s="86"/>
    </row>
    <row r="40" spans="5:7" s="61" customFormat="1" ht="15" customHeight="1">
      <c r="E40" s="85" t="s">
        <v>38</v>
      </c>
      <c r="F40" s="92">
        <f>SUM(F36:F39)</f>
        <v>538642.47</v>
      </c>
      <c r="G40" s="86"/>
    </row>
    <row r="41" spans="5:7" s="61" customFormat="1" ht="15" customHeight="1">
      <c r="E41" s="87"/>
      <c r="F41" s="93"/>
      <c r="G41" s="86"/>
    </row>
    <row r="42" spans="5:7" s="61" customFormat="1" ht="15" customHeight="1">
      <c r="E42" s="89" t="s">
        <v>49</v>
      </c>
      <c r="F42" s="93">
        <v>75000</v>
      </c>
      <c r="G42" s="9"/>
    </row>
    <row r="43" spans="5:7" s="61" customFormat="1" ht="15" customHeight="1">
      <c r="E43" s="87" t="s">
        <v>51</v>
      </c>
      <c r="F43" s="93">
        <v>55000</v>
      </c>
      <c r="G43" s="9"/>
    </row>
    <row r="44" spans="5:7" s="61" customFormat="1" ht="15" customHeight="1">
      <c r="E44" s="90" t="s">
        <v>53</v>
      </c>
      <c r="F44" s="93">
        <v>187000</v>
      </c>
      <c r="G44" s="9"/>
    </row>
    <row r="45" spans="5:7" s="61" customFormat="1" ht="15" customHeight="1">
      <c r="E45" s="91" t="s">
        <v>24</v>
      </c>
      <c r="F45" s="95">
        <f>65000+15000</f>
        <v>80000</v>
      </c>
      <c r="G45" s="94">
        <v>810000</v>
      </c>
    </row>
    <row r="46" spans="5:7" s="61" customFormat="1" ht="15" customHeight="1">
      <c r="E46" s="91" t="s">
        <v>39</v>
      </c>
      <c r="F46" s="95">
        <v>2000</v>
      </c>
      <c r="G46" s="9"/>
    </row>
    <row r="47" spans="5:7" s="61" customFormat="1" ht="15" customHeight="1">
      <c r="E47" s="91" t="s">
        <v>22</v>
      </c>
      <c r="F47" s="95">
        <v>70000</v>
      </c>
      <c r="G47" s="9"/>
    </row>
    <row r="48" spans="5:7" s="61" customFormat="1" ht="15" customHeight="1">
      <c r="E48" s="91" t="s">
        <v>52</v>
      </c>
      <c r="F48" s="95">
        <v>32000</v>
      </c>
      <c r="G48" s="9"/>
    </row>
    <row r="49" spans="5:7" s="61" customFormat="1" ht="15" customHeight="1">
      <c r="E49" s="91" t="s">
        <v>54</v>
      </c>
      <c r="F49" s="95">
        <v>650000</v>
      </c>
      <c r="G49" s="9"/>
    </row>
    <row r="50" spans="5:7" s="61" customFormat="1" ht="15" customHeight="1">
      <c r="E50" s="91" t="s">
        <v>55</v>
      </c>
      <c r="F50" s="95">
        <v>290000</v>
      </c>
      <c r="G50" s="9"/>
    </row>
    <row r="51" spans="5:7" s="61" customFormat="1" ht="15" customHeight="1">
      <c r="E51" s="91" t="s">
        <v>40</v>
      </c>
      <c r="F51" s="93">
        <v>170000</v>
      </c>
      <c r="G51" s="9"/>
    </row>
    <row r="52" spans="5:7" s="61" customFormat="1" ht="15" customHeight="1">
      <c r="E52" s="96" t="s">
        <v>41</v>
      </c>
      <c r="F52" s="97">
        <f>SUM(F42:F51)</f>
        <v>1611000</v>
      </c>
      <c r="G52" s="82"/>
    </row>
    <row r="53" spans="5:7" s="61" customFormat="1" ht="15" customHeight="1">
      <c r="E53" s="96" t="s">
        <v>42</v>
      </c>
      <c r="F53" s="97">
        <f>F40-F52</f>
        <v>-1072357.53</v>
      </c>
      <c r="G53" s="82"/>
    </row>
    <row r="54" spans="5:7" s="61" customFormat="1" ht="15" customHeight="1">
      <c r="E54" s="83"/>
      <c r="F54" s="83"/>
      <c r="G54" s="8"/>
    </row>
    <row r="55" spans="5:7" s="61" customFormat="1">
      <c r="E55" s="83" t="s">
        <v>43</v>
      </c>
      <c r="F55" s="98">
        <f>43800+180000</f>
        <v>223800</v>
      </c>
      <c r="G55" s="8"/>
    </row>
    <row r="56" spans="5:7" s="61" customFormat="1">
      <c r="E56" s="83" t="s">
        <v>44</v>
      </c>
      <c r="F56" s="98">
        <v>700000</v>
      </c>
      <c r="G56" s="8"/>
    </row>
    <row r="57" spans="5:7" s="61" customFormat="1">
      <c r="E57" s="83" t="s">
        <v>45</v>
      </c>
      <c r="F57" s="95">
        <v>0</v>
      </c>
      <c r="G57" s="8"/>
    </row>
    <row r="58" spans="5:7" s="61" customFormat="1">
      <c r="E58" s="96" t="s">
        <v>46</v>
      </c>
      <c r="F58" s="99">
        <f>SUM(F55:F57)</f>
        <v>923800</v>
      </c>
      <c r="G58" s="8"/>
    </row>
    <row r="59" spans="5:7" s="61" customFormat="1">
      <c r="E59" s="83"/>
      <c r="F59" s="83"/>
      <c r="G59" s="8"/>
    </row>
    <row r="60" spans="5:7" s="61" customFormat="1">
      <c r="E60" s="96" t="s">
        <v>47</v>
      </c>
      <c r="F60" s="100">
        <f>F53-F58</f>
        <v>-1996157.53</v>
      </c>
      <c r="G60" s="8"/>
    </row>
  </sheetData>
  <mergeCells count="22">
    <mergeCell ref="B28:D28"/>
    <mergeCell ref="B29:D29"/>
    <mergeCell ref="B30:D30"/>
    <mergeCell ref="B24:D24"/>
    <mergeCell ref="B25:D25"/>
    <mergeCell ref="G24:K24"/>
    <mergeCell ref="B26:D26"/>
    <mergeCell ref="B27:D27"/>
    <mergeCell ref="G26:H26"/>
    <mergeCell ref="B16:D16"/>
    <mergeCell ref="B17:D17"/>
    <mergeCell ref="B18:D18"/>
    <mergeCell ref="B19:D19"/>
    <mergeCell ref="B20:D20"/>
    <mergeCell ref="G20:H20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C23D2-2211-4A6A-AD10-061858601EEF}">
  <dimension ref="B6:P60"/>
  <sheetViews>
    <sheetView showGridLines="0" topLeftCell="A29" workbookViewId="0">
      <selection activeCell="E55" sqref="E55:F60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79" customWidth="1"/>
    <col min="7" max="7" width="15.7265625" customWidth="1"/>
    <col min="8" max="8" width="19.7265625" customWidth="1"/>
    <col min="9" max="9" width="1.453125" customWidth="1"/>
    <col min="10" max="10" width="24.26953125" customWidth="1"/>
    <col min="11" max="11" width="22.26953125" bestFit="1" customWidth="1"/>
    <col min="12" max="12" width="20.26953125" bestFit="1" customWidth="1"/>
    <col min="13" max="13" width="16.269531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3" s="8" customFormat="1" ht="18">
      <c r="B6" s="5"/>
      <c r="C6" s="5"/>
      <c r="D6" s="5"/>
      <c r="E6" s="6" t="s">
        <v>0</v>
      </c>
      <c r="F6" s="7"/>
      <c r="G6" s="5"/>
      <c r="H6" s="5"/>
      <c r="I6" s="5"/>
      <c r="J6" s="5"/>
      <c r="K6" s="5"/>
    </row>
    <row r="7" spans="2:13">
      <c r="B7" s="1"/>
      <c r="C7" s="1"/>
      <c r="D7" s="1"/>
      <c r="E7" s="1"/>
      <c r="F7" s="2"/>
      <c r="G7" s="1"/>
      <c r="H7" s="1"/>
      <c r="I7" s="1"/>
      <c r="J7" s="1"/>
      <c r="K7" s="1"/>
    </row>
    <row r="8" spans="2:13">
      <c r="B8" s="1"/>
      <c r="C8" s="1"/>
      <c r="D8" s="1"/>
      <c r="E8" s="1"/>
      <c r="F8" s="2"/>
      <c r="G8" s="1"/>
      <c r="H8" s="1"/>
      <c r="I8" s="4"/>
      <c r="J8" s="1"/>
      <c r="K8" s="1"/>
    </row>
    <row r="9" spans="2:13">
      <c r="B9" s="1"/>
      <c r="C9" s="1"/>
      <c r="D9" s="1"/>
      <c r="E9" s="1"/>
      <c r="F9" s="2"/>
      <c r="G9" s="1"/>
      <c r="H9" s="1"/>
      <c r="I9" s="4"/>
      <c r="J9" s="1"/>
      <c r="K9" s="1"/>
    </row>
    <row r="10" spans="2:13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3" ht="15" thickBot="1">
      <c r="B11" s="1"/>
      <c r="C11" s="1"/>
      <c r="D11" s="1"/>
      <c r="E11" s="1"/>
      <c r="F11" s="2"/>
      <c r="G11" s="1"/>
      <c r="H11" s="1"/>
      <c r="I11" s="1"/>
      <c r="J11" s="1"/>
      <c r="K11" s="1"/>
    </row>
    <row r="12" spans="2:13" ht="18" thickBot="1">
      <c r="B12" s="331" t="s">
        <v>2</v>
      </c>
      <c r="C12" s="332"/>
      <c r="D12" s="332"/>
      <c r="E12" s="333"/>
      <c r="F12" s="12"/>
      <c r="G12" s="1"/>
      <c r="H12" s="1"/>
      <c r="I12" s="1"/>
      <c r="J12" s="1"/>
      <c r="K12" s="1"/>
      <c r="L12" s="13"/>
      <c r="M12" t="s">
        <v>20</v>
      </c>
    </row>
    <row r="13" spans="2:13" ht="18" thickBot="1">
      <c r="B13" s="1"/>
      <c r="C13" s="1"/>
      <c r="D13" s="1"/>
      <c r="E13" s="1"/>
      <c r="F13" s="123"/>
      <c r="G13" s="11"/>
      <c r="H13" s="11"/>
      <c r="I13" s="11"/>
      <c r="J13" s="15"/>
      <c r="K13" s="16"/>
      <c r="L13" s="13"/>
    </row>
    <row r="14" spans="2:13" ht="15" thickBot="1">
      <c r="B14" s="334" t="s">
        <v>3</v>
      </c>
      <c r="C14" s="335"/>
      <c r="D14" s="336"/>
      <c r="E14" s="17">
        <f>SUM(E15:E17)</f>
        <v>1077884</v>
      </c>
      <c r="F14" s="107"/>
      <c r="G14" s="331" t="s">
        <v>4</v>
      </c>
      <c r="H14" s="332"/>
      <c r="I14" s="332"/>
      <c r="J14" s="332"/>
      <c r="K14" s="333"/>
      <c r="L14" s="19"/>
    </row>
    <row r="15" spans="2:13">
      <c r="B15" s="337" t="s">
        <v>5</v>
      </c>
      <c r="C15" s="338"/>
      <c r="D15" s="339"/>
      <c r="E15" s="20">
        <f>J16+J17+J18+J19</f>
        <v>507845.6</v>
      </c>
      <c r="F15" s="108">
        <f>E15+E16+E17</f>
        <v>1077884</v>
      </c>
      <c r="G15" s="340" t="s">
        <v>6</v>
      </c>
      <c r="H15" s="341"/>
      <c r="I15" s="21"/>
      <c r="J15" s="342" t="s">
        <v>5</v>
      </c>
      <c r="K15" s="343"/>
      <c r="L15" s="13"/>
    </row>
    <row r="16" spans="2:13">
      <c r="B16" s="349" t="s">
        <v>7</v>
      </c>
      <c r="C16" s="350"/>
      <c r="D16" s="351"/>
      <c r="E16" s="20">
        <f>G21+G22</f>
        <v>30673.35</v>
      </c>
      <c r="F16" s="108">
        <v>90000</v>
      </c>
      <c r="G16" s="22">
        <v>12592.59</v>
      </c>
      <c r="H16" s="23" t="s">
        <v>8</v>
      </c>
      <c r="I16" s="24"/>
      <c r="J16" s="25">
        <v>70256.679999999993</v>
      </c>
      <c r="K16" s="26" t="s">
        <v>9</v>
      </c>
      <c r="L16" s="13"/>
    </row>
    <row r="17" spans="2:14">
      <c r="B17" s="352" t="s">
        <v>6</v>
      </c>
      <c r="C17" s="353"/>
      <c r="D17" s="354"/>
      <c r="E17" s="28">
        <f>G16+G17+G18</f>
        <v>539365.05000000005</v>
      </c>
      <c r="F17" s="108">
        <f>F15-F16</f>
        <v>987884</v>
      </c>
      <c r="G17" s="22">
        <v>499076.01</v>
      </c>
      <c r="H17" s="29" t="s">
        <v>10</v>
      </c>
      <c r="I17" s="30"/>
      <c r="J17" s="25">
        <v>134082.99</v>
      </c>
      <c r="K17" s="31" t="s">
        <v>10</v>
      </c>
      <c r="L17" s="13"/>
    </row>
    <row r="18" spans="2:14">
      <c r="B18" s="355" t="s">
        <v>11</v>
      </c>
      <c r="C18" s="356"/>
      <c r="D18" s="357"/>
      <c r="E18" s="20">
        <f>G28+G30+G29+G27</f>
        <v>2494755.0699999998</v>
      </c>
      <c r="F18" s="109"/>
      <c r="G18" s="22">
        <v>27696.45</v>
      </c>
      <c r="H18" s="29" t="s">
        <v>12</v>
      </c>
      <c r="I18" s="30"/>
      <c r="J18" s="25">
        <v>273298.26</v>
      </c>
      <c r="K18" s="31" t="s">
        <v>12</v>
      </c>
      <c r="L18" s="32"/>
    </row>
    <row r="19" spans="2:14">
      <c r="B19" s="344" t="s">
        <v>13</v>
      </c>
      <c r="C19" s="345"/>
      <c r="D19" s="346"/>
      <c r="E19" s="20">
        <v>13717730.01</v>
      </c>
      <c r="F19" s="108"/>
      <c r="G19" s="33"/>
      <c r="H19" s="34"/>
      <c r="I19" s="30"/>
      <c r="J19" s="25">
        <v>30207.67</v>
      </c>
      <c r="K19" s="31" t="s">
        <v>14</v>
      </c>
      <c r="L19" s="13"/>
    </row>
    <row r="20" spans="2:14">
      <c r="B20" s="358" t="s">
        <v>15</v>
      </c>
      <c r="C20" s="359"/>
      <c r="D20" s="360"/>
      <c r="E20" s="35">
        <f>SUM(E21:E21)</f>
        <v>4408</v>
      </c>
      <c r="F20" s="14"/>
      <c r="G20" s="361" t="s">
        <v>16</v>
      </c>
      <c r="H20" s="362"/>
      <c r="I20" s="36"/>
      <c r="J20" s="37"/>
      <c r="K20" s="38"/>
      <c r="L20" s="39"/>
    </row>
    <row r="21" spans="2:14">
      <c r="B21" s="40"/>
      <c r="C21" s="41"/>
      <c r="D21" s="122" t="s">
        <v>79</v>
      </c>
      <c r="E21" s="43">
        <v>4408</v>
      </c>
      <c r="F21" s="14"/>
      <c r="G21" s="44">
        <v>13485.96</v>
      </c>
      <c r="H21" s="29" t="s">
        <v>10</v>
      </c>
      <c r="I21" s="30"/>
      <c r="J21" s="37"/>
      <c r="K21" s="45"/>
      <c r="L21" s="39"/>
    </row>
    <row r="22" spans="2:14">
      <c r="B22" s="46" t="s">
        <v>17</v>
      </c>
      <c r="C22" s="47"/>
      <c r="D22" s="48"/>
      <c r="E22" s="49">
        <v>13180.95</v>
      </c>
      <c r="F22" s="14"/>
      <c r="G22" s="44">
        <v>17187.39</v>
      </c>
      <c r="H22" s="29" t="s">
        <v>18</v>
      </c>
      <c r="I22" s="30"/>
      <c r="J22" s="50"/>
      <c r="K22" s="38"/>
      <c r="L22" s="39"/>
    </row>
    <row r="23" spans="2:14" ht="15" thickBot="1">
      <c r="B23" s="366" t="s">
        <v>77</v>
      </c>
      <c r="C23" s="367"/>
      <c r="D23" s="368"/>
      <c r="E23" s="49">
        <v>1345415</v>
      </c>
      <c r="F23" s="8"/>
      <c r="G23" s="51"/>
      <c r="H23" s="34"/>
      <c r="I23" s="30"/>
      <c r="J23" s="52"/>
      <c r="K23" s="53"/>
      <c r="L23" s="39"/>
      <c r="N23" t="s">
        <v>20</v>
      </c>
    </row>
    <row r="24" spans="2:14" ht="15" thickBot="1">
      <c r="B24" s="344" t="s">
        <v>78</v>
      </c>
      <c r="C24" s="345"/>
      <c r="D24" s="346"/>
      <c r="E24" s="49">
        <v>68652.999999999985</v>
      </c>
      <c r="F24" s="8"/>
      <c r="G24" s="331" t="s">
        <v>21</v>
      </c>
      <c r="H24" s="332"/>
      <c r="I24" s="332"/>
      <c r="J24" s="332"/>
      <c r="K24" s="333"/>
      <c r="L24" s="39"/>
    </row>
    <row r="25" spans="2:14">
      <c r="B25" s="344" t="s">
        <v>22</v>
      </c>
      <c r="C25" s="345"/>
      <c r="D25" s="346"/>
      <c r="E25" s="49">
        <v>52762.8</v>
      </c>
      <c r="F25" s="8"/>
      <c r="G25" s="54"/>
      <c r="H25" s="55"/>
      <c r="I25" s="56"/>
      <c r="J25" s="57"/>
      <c r="K25" s="58"/>
      <c r="L25" s="39"/>
    </row>
    <row r="26" spans="2:14">
      <c r="B26" s="344" t="s">
        <v>64</v>
      </c>
      <c r="C26" s="345"/>
      <c r="D26" s="346"/>
      <c r="E26" s="49">
        <v>0</v>
      </c>
      <c r="F26" s="9"/>
      <c r="G26" s="347" t="s">
        <v>5</v>
      </c>
      <c r="H26" s="348"/>
      <c r="I26" s="59"/>
      <c r="J26" s="60"/>
      <c r="K26" s="45"/>
      <c r="L26" s="61"/>
    </row>
    <row r="27" spans="2:14">
      <c r="B27" s="344" t="s">
        <v>24</v>
      </c>
      <c r="C27" s="345"/>
      <c r="D27" s="346"/>
      <c r="E27" s="49">
        <v>0</v>
      </c>
      <c r="F27" s="14">
        <v>0</v>
      </c>
      <c r="G27" s="22">
        <f>11580.45-11500</f>
        <v>80.450000000000728</v>
      </c>
      <c r="H27" s="62" t="s">
        <v>9</v>
      </c>
      <c r="I27" s="59"/>
      <c r="J27" s="60"/>
      <c r="K27" s="45"/>
      <c r="L27" s="61"/>
    </row>
    <row r="28" spans="2:14">
      <c r="B28" s="344" t="s">
        <v>25</v>
      </c>
      <c r="C28" s="345"/>
      <c r="D28" s="346"/>
      <c r="E28" s="49">
        <v>58322</v>
      </c>
      <c r="F28" s="14">
        <v>40000</v>
      </c>
      <c r="G28" s="22">
        <v>42069.9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4" ht="15" thickBot="1">
      <c r="B29" s="363" t="s">
        <v>29</v>
      </c>
      <c r="C29" s="364"/>
      <c r="D29" s="365"/>
      <c r="E29" s="66">
        <v>0</v>
      </c>
      <c r="F29" s="14">
        <v>30000</v>
      </c>
      <c r="G29" s="67">
        <v>31317.53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4" ht="15" thickBot="1">
      <c r="B30" s="69"/>
      <c r="C30" s="69"/>
      <c r="D30" s="70"/>
      <c r="E30" s="70"/>
      <c r="F30" s="104">
        <v>2400000</v>
      </c>
      <c r="G30" s="71">
        <v>2421287.19</v>
      </c>
      <c r="H30" s="72" t="s">
        <v>12</v>
      </c>
      <c r="I30" s="73"/>
      <c r="J30" s="74" t="s">
        <v>32</v>
      </c>
      <c r="K30" s="75" t="s">
        <v>33</v>
      </c>
      <c r="L30" s="61"/>
    </row>
    <row r="31" spans="2:14">
      <c r="E31" s="61"/>
      <c r="F31" s="32">
        <f>SUM(F26:F30)</f>
        <v>2470000</v>
      </c>
      <c r="G31" s="76"/>
      <c r="H31" s="76"/>
      <c r="I31" s="76"/>
      <c r="J31" s="76"/>
      <c r="K31" s="1"/>
      <c r="L31" s="77"/>
    </row>
    <row r="33" spans="5:7">
      <c r="E33" s="78" t="s">
        <v>66</v>
      </c>
      <c r="F33" s="78"/>
    </row>
    <row r="34" spans="5:7">
      <c r="E34" s="78"/>
      <c r="F34" s="78"/>
    </row>
    <row r="35" spans="5:7">
      <c r="E35" s="83" t="s">
        <v>34</v>
      </c>
      <c r="F35" s="88">
        <f>F17</f>
        <v>987884</v>
      </c>
    </row>
    <row r="36" spans="5:7">
      <c r="E36" s="83" t="s">
        <v>35</v>
      </c>
      <c r="F36" s="88">
        <f>+F31</f>
        <v>2470000</v>
      </c>
    </row>
    <row r="37" spans="5:7">
      <c r="E37" s="83" t="s">
        <v>36</v>
      </c>
      <c r="F37" s="88">
        <v>0</v>
      </c>
    </row>
    <row r="38" spans="5:7" s="61" customFormat="1" ht="15" customHeight="1">
      <c r="E38" s="83" t="s">
        <v>37</v>
      </c>
      <c r="F38" s="88">
        <v>0</v>
      </c>
      <c r="G38" s="8"/>
    </row>
    <row r="39" spans="5:7" s="61" customFormat="1" ht="15" customHeight="1">
      <c r="E39" s="85" t="s">
        <v>38</v>
      </c>
      <c r="F39" s="92">
        <f>SUM(F35:F38)</f>
        <v>3457884</v>
      </c>
      <c r="G39" s="86"/>
    </row>
    <row r="40" spans="5:7" s="61" customFormat="1" ht="15" customHeight="1">
      <c r="E40" s="87"/>
      <c r="F40" s="93"/>
      <c r="G40" s="86"/>
    </row>
    <row r="41" spans="5:7" s="61" customFormat="1" ht="15" customHeight="1">
      <c r="E41" s="89" t="s">
        <v>65</v>
      </c>
      <c r="F41" s="93">
        <v>75000</v>
      </c>
      <c r="G41" s="86"/>
    </row>
    <row r="42" spans="5:7" s="61" customFormat="1" ht="15" customHeight="1">
      <c r="E42" s="89" t="s">
        <v>82</v>
      </c>
      <c r="F42" s="93">
        <v>56000</v>
      </c>
      <c r="G42" s="86"/>
    </row>
    <row r="43" spans="5:7" s="61" customFormat="1" ht="15" customHeight="1">
      <c r="E43" s="87" t="s">
        <v>67</v>
      </c>
      <c r="F43" s="93">
        <v>1350000</v>
      </c>
      <c r="G43" s="9"/>
    </row>
    <row r="44" spans="5:7" s="61" customFormat="1" ht="15" customHeight="1">
      <c r="E44" s="90" t="s">
        <v>68</v>
      </c>
      <c r="F44" s="93">
        <v>700000</v>
      </c>
      <c r="G44" s="9"/>
    </row>
    <row r="45" spans="5:7" s="61" customFormat="1" ht="15" customHeight="1">
      <c r="E45" s="91" t="s">
        <v>24</v>
      </c>
      <c r="F45" s="95">
        <f>15000+65000</f>
        <v>80000</v>
      </c>
      <c r="G45" s="9"/>
    </row>
    <row r="46" spans="5:7" s="61" customFormat="1" ht="15" customHeight="1">
      <c r="E46" s="91" t="s">
        <v>39</v>
      </c>
      <c r="F46" s="95">
        <v>2000</v>
      </c>
      <c r="G46" s="94">
        <v>810000</v>
      </c>
    </row>
    <row r="47" spans="5:7" s="61" customFormat="1" ht="15" customHeight="1">
      <c r="E47" s="91" t="s">
        <v>22</v>
      </c>
      <c r="F47" s="95">
        <f>100000+50000+50000</f>
        <v>200000</v>
      </c>
      <c r="G47" s="9"/>
    </row>
    <row r="48" spans="5:7" s="61" customFormat="1" ht="15" customHeight="1">
      <c r="E48" s="91" t="s">
        <v>69</v>
      </c>
      <c r="F48" s="95">
        <v>58322</v>
      </c>
      <c r="G48" s="9"/>
    </row>
    <row r="49" spans="5:7" s="61" customFormat="1" ht="15" customHeight="1">
      <c r="E49" s="91" t="s">
        <v>81</v>
      </c>
      <c r="F49" s="95">
        <v>0</v>
      </c>
      <c r="G49" s="9"/>
    </row>
    <row r="50" spans="5:7" s="61" customFormat="1" ht="15" customHeight="1">
      <c r="E50" s="91" t="s">
        <v>80</v>
      </c>
      <c r="F50" s="95">
        <v>1758264.88</v>
      </c>
      <c r="G50" s="9"/>
    </row>
    <row r="51" spans="5:7" s="61" customFormat="1" ht="15" customHeight="1">
      <c r="E51" s="91" t="s">
        <v>40</v>
      </c>
      <c r="F51" s="93">
        <v>120000</v>
      </c>
      <c r="G51" s="9"/>
    </row>
    <row r="52" spans="5:7" s="61" customFormat="1" ht="15" customHeight="1">
      <c r="E52" s="96" t="s">
        <v>41</v>
      </c>
      <c r="F52" s="97">
        <f>SUM(F41:F51)</f>
        <v>4399586.88</v>
      </c>
      <c r="G52" s="9"/>
    </row>
    <row r="53" spans="5:7" s="61" customFormat="1" ht="15" customHeight="1">
      <c r="E53" s="96" t="s">
        <v>42</v>
      </c>
      <c r="F53" s="97">
        <f>F39-F52</f>
        <v>-941702.87999999989</v>
      </c>
      <c r="G53" s="82"/>
    </row>
    <row r="54" spans="5:7" s="61" customFormat="1" ht="15" customHeight="1">
      <c r="E54" s="83"/>
      <c r="F54" s="83"/>
      <c r="G54" s="82"/>
    </row>
    <row r="55" spans="5:7" s="61" customFormat="1" ht="15" customHeight="1">
      <c r="E55" s="83" t="s">
        <v>43</v>
      </c>
      <c r="F55" s="98">
        <f>43800+180000</f>
        <v>223800</v>
      </c>
      <c r="G55" s="8"/>
    </row>
    <row r="56" spans="5:7" s="61" customFormat="1">
      <c r="E56" s="83" t="s">
        <v>44</v>
      </c>
      <c r="F56" s="98">
        <v>0</v>
      </c>
      <c r="G56" s="8"/>
    </row>
    <row r="57" spans="5:7" s="61" customFormat="1">
      <c r="E57" s="83" t="s">
        <v>45</v>
      </c>
      <c r="F57" s="95">
        <v>0</v>
      </c>
      <c r="G57" s="8"/>
    </row>
    <row r="58" spans="5:7" s="61" customFormat="1">
      <c r="E58" s="96" t="s">
        <v>46</v>
      </c>
      <c r="F58" s="99">
        <f>SUM(F55:F57)</f>
        <v>223800</v>
      </c>
      <c r="G58" s="8"/>
    </row>
    <row r="59" spans="5:7" s="61" customFormat="1">
      <c r="E59" s="83"/>
      <c r="F59" s="83"/>
      <c r="G59" s="8"/>
    </row>
    <row r="60" spans="5:7" s="61" customFormat="1">
      <c r="E60" s="96" t="s">
        <v>47</v>
      </c>
      <c r="F60" s="100">
        <f>F53-F58</f>
        <v>-1165502.8799999999</v>
      </c>
      <c r="G60" s="8"/>
    </row>
  </sheetData>
  <mergeCells count="22">
    <mergeCell ref="G20:H20"/>
    <mergeCell ref="E10:F10"/>
    <mergeCell ref="B12:E12"/>
    <mergeCell ref="B14:D14"/>
    <mergeCell ref="G14:K14"/>
    <mergeCell ref="B15:D15"/>
    <mergeCell ref="G15:H15"/>
    <mergeCell ref="J15:K15"/>
    <mergeCell ref="B23:D23"/>
    <mergeCell ref="B24:D24"/>
    <mergeCell ref="B25:D25"/>
    <mergeCell ref="B26:D26"/>
    <mergeCell ref="B16:D16"/>
    <mergeCell ref="B17:D17"/>
    <mergeCell ref="B18:D18"/>
    <mergeCell ref="B19:D19"/>
    <mergeCell ref="B20:D20"/>
    <mergeCell ref="B27:D27"/>
    <mergeCell ref="B28:D28"/>
    <mergeCell ref="B29:D29"/>
    <mergeCell ref="G24:K24"/>
    <mergeCell ref="G26:H26"/>
  </mergeCells>
  <pageMargins left="0.7" right="0.7" top="0.75" bottom="0.75" header="0.3" footer="0.3"/>
  <drawing r:id="rId1"/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9DBC7-2DF6-48E0-9EDA-5EA84E078AE2}">
  <dimension ref="A6:R212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34" t="s">
        <v>3</v>
      </c>
      <c r="C14" s="335"/>
      <c r="D14" s="336"/>
      <c r="E14" s="17">
        <f>SUM(E15:E17)</f>
        <v>2257956.27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37" t="s">
        <v>5</v>
      </c>
      <c r="C15" s="338"/>
      <c r="D15" s="339"/>
      <c r="E15" s="20">
        <f>J16+J17+J18+J19</f>
        <v>2142184.7200000002</v>
      </c>
      <c r="F15" s="153">
        <f>E15+E16+E17</f>
        <v>2257956.27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349" t="s">
        <v>7</v>
      </c>
      <c r="C16" s="350"/>
      <c r="D16" s="351"/>
      <c r="E16" s="20">
        <f>G22+G23</f>
        <v>23032.9</v>
      </c>
      <c r="F16" s="153">
        <v>90000</v>
      </c>
      <c r="G16" s="22">
        <v>7198.32</v>
      </c>
      <c r="H16" s="23" t="s">
        <v>8</v>
      </c>
      <c r="I16" s="24"/>
      <c r="J16" s="25">
        <v>61675.09</v>
      </c>
      <c r="K16" s="26" t="s">
        <v>9</v>
      </c>
      <c r="L16" s="13"/>
      <c r="N16" s="3"/>
    </row>
    <row r="17" spans="2:18">
      <c r="B17" s="352" t="s">
        <v>6</v>
      </c>
      <c r="C17" s="353"/>
      <c r="D17" s="354"/>
      <c r="E17" s="28">
        <f>G16+G17+G18</f>
        <v>92738.65</v>
      </c>
      <c r="F17" s="153">
        <f>+F15-F16</f>
        <v>2167956.27</v>
      </c>
      <c r="G17" s="22">
        <v>8134.71</v>
      </c>
      <c r="H17" s="29" t="s">
        <v>10</v>
      </c>
      <c r="I17" s="30"/>
      <c r="J17" s="25">
        <v>215605.28</v>
      </c>
      <c r="K17" s="31" t="s">
        <v>10</v>
      </c>
      <c r="N17" s="3"/>
    </row>
    <row r="18" spans="2:18">
      <c r="B18" s="236" t="s">
        <v>187</v>
      </c>
      <c r="C18" s="237"/>
      <c r="D18" s="238"/>
      <c r="E18" s="28">
        <f>+J22</f>
        <v>14541.8</v>
      </c>
      <c r="F18" s="153"/>
      <c r="G18" s="22">
        <v>77405.62</v>
      </c>
      <c r="H18" s="29" t="s">
        <v>12</v>
      </c>
      <c r="I18" s="30"/>
      <c r="J18" s="25">
        <v>1599793.42</v>
      </c>
      <c r="K18" s="31" t="s">
        <v>12</v>
      </c>
      <c r="L18" s="152"/>
      <c r="N18" s="3"/>
    </row>
    <row r="19" spans="2:18">
      <c r="B19" s="379" t="s">
        <v>11</v>
      </c>
      <c r="C19" s="380"/>
      <c r="D19" s="381"/>
      <c r="E19" s="20">
        <f>G29+G31+G30+G28</f>
        <v>415763.47000000003</v>
      </c>
      <c r="F19" s="153"/>
      <c r="G19" s="33"/>
      <c r="H19" s="34"/>
      <c r="I19" s="30"/>
      <c r="J19" s="25">
        <v>265110.93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15220472.5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SUM(E22:E24)</f>
        <v>191324.39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350</v>
      </c>
      <c r="E22" s="190">
        <v>12064</v>
      </c>
      <c r="F22" s="153"/>
      <c r="G22" s="44">
        <v>9191.64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187"/>
      <c r="C23" s="188"/>
      <c r="D23" s="198" t="s">
        <v>122</v>
      </c>
      <c r="E23" s="190">
        <v>9570</v>
      </c>
      <c r="F23" s="153"/>
      <c r="G23" s="44">
        <v>13841.26</v>
      </c>
      <c r="H23" s="29" t="s">
        <v>18</v>
      </c>
      <c r="I23" s="30"/>
      <c r="J23" s="25"/>
      <c r="K23" s="31"/>
    </row>
    <row r="24" spans="2:18" ht="15" thickBot="1">
      <c r="B24" s="206"/>
      <c r="C24" s="205"/>
      <c r="D24" s="208" t="s">
        <v>120</v>
      </c>
      <c r="E24" s="190">
        <v>169690.39</v>
      </c>
      <c r="F24" s="220"/>
      <c r="G24" s="51"/>
      <c r="H24" s="34"/>
      <c r="I24" s="30"/>
      <c r="J24" s="210"/>
      <c r="K24" s="53"/>
    </row>
    <row r="25" spans="2:18" ht="15" thickBot="1">
      <c r="B25" s="46" t="s">
        <v>17</v>
      </c>
      <c r="C25" s="47"/>
      <c r="D25" s="48"/>
      <c r="E25" s="234">
        <v>0</v>
      </c>
      <c r="F25" s="153">
        <f>+F17-E25</f>
        <v>2167956.27</v>
      </c>
      <c r="G25" s="331" t="s">
        <v>21</v>
      </c>
      <c r="H25" s="332"/>
      <c r="I25" s="332"/>
      <c r="J25" s="332"/>
      <c r="K25" s="333"/>
      <c r="N25" s="269"/>
      <c r="Q25" s="155"/>
      <c r="R25" s="155"/>
    </row>
    <row r="26" spans="2:18">
      <c r="B26" s="202" t="s">
        <v>349</v>
      </c>
      <c r="C26" s="203"/>
      <c r="D26" s="204"/>
      <c r="E26" s="234">
        <v>1216629.8</v>
      </c>
      <c r="F26" s="288">
        <f>SUM(E25:E31)</f>
        <v>1316428.2</v>
      </c>
      <c r="G26" s="54"/>
      <c r="H26" s="55"/>
      <c r="I26" s="56"/>
      <c r="J26" s="211"/>
      <c r="K26" s="58"/>
      <c r="N26" s="269"/>
      <c r="P26" s="155"/>
      <c r="R26" s="155"/>
    </row>
    <row r="27" spans="2:18">
      <c r="B27" s="199" t="s">
        <v>23</v>
      </c>
      <c r="C27" s="200"/>
      <c r="D27" s="201"/>
      <c r="E27" s="49">
        <v>99798.399999999994</v>
      </c>
      <c r="F27" s="153">
        <f>+F25-F26</f>
        <v>851528.07000000007</v>
      </c>
      <c r="G27" s="377" t="s">
        <v>5</v>
      </c>
      <c r="H27" s="378"/>
      <c r="I27" s="59"/>
      <c r="J27" s="60"/>
      <c r="K27" s="45"/>
    </row>
    <row r="28" spans="2:18">
      <c r="B28" s="199" t="s">
        <v>81</v>
      </c>
      <c r="C28" s="200"/>
      <c r="D28" s="201"/>
      <c r="E28" s="49">
        <v>0</v>
      </c>
      <c r="F28" s="221"/>
      <c r="G28" s="22">
        <f>24004.74-11500-8500</f>
        <v>4004.7400000000016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24</v>
      </c>
      <c r="C29" s="200"/>
      <c r="D29" s="201"/>
      <c r="E29" s="49">
        <v>0</v>
      </c>
      <c r="F29" s="220"/>
      <c r="G29" s="22">
        <f>556071.55- 154326.09</f>
        <v>401745.46000000008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344" t="s">
        <v>25</v>
      </c>
      <c r="C30" s="345"/>
      <c r="D30" s="346"/>
      <c r="E30" s="49">
        <v>0</v>
      </c>
      <c r="F30" s="220"/>
      <c r="G30" s="67">
        <v>1749.5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63" t="s">
        <v>29</v>
      </c>
      <c r="C31" s="364"/>
      <c r="D31" s="365"/>
      <c r="E31" s="66">
        <v>0</v>
      </c>
      <c r="F31" s="220"/>
      <c r="G31" s="71">
        <f>400519.41-392255.64</f>
        <v>8263.7699999999604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61"/>
      <c r="F32" s="220"/>
      <c r="N32" s="269"/>
      <c r="P32" s="155"/>
      <c r="R32" s="155"/>
    </row>
    <row r="33" spans="5:18">
      <c r="E33" s="61"/>
      <c r="F33" s="220"/>
    </row>
    <row r="34" spans="5:18">
      <c r="E34" s="61"/>
      <c r="F34" s="220"/>
      <c r="H34" s="61"/>
      <c r="I34" s="61"/>
      <c r="J34" s="13"/>
      <c r="K34" s="61"/>
      <c r="L34" s="61"/>
      <c r="M34" s="61"/>
      <c r="N34" s="269"/>
      <c r="P34" s="155"/>
      <c r="R34" s="155"/>
    </row>
    <row r="35" spans="5:18">
      <c r="E35" s="61"/>
      <c r="F35" s="220"/>
      <c r="H35" s="61"/>
      <c r="I35" s="61"/>
      <c r="J35" s="13"/>
      <c r="K35" s="61"/>
      <c r="L35" s="61"/>
      <c r="M35" s="61"/>
    </row>
    <row r="36" spans="5:18" s="61" customFormat="1" ht="15" customHeight="1">
      <c r="E36" s="181" t="s">
        <v>345</v>
      </c>
      <c r="F36" s="222"/>
      <c r="G36" s="8"/>
      <c r="H36" s="13"/>
      <c r="J36" s="13"/>
      <c r="K36" s="83"/>
      <c r="L36" s="88"/>
      <c r="N36" s="272"/>
      <c r="P36" s="273"/>
      <c r="R36" s="273"/>
    </row>
    <row r="37" spans="5:18" s="61" customFormat="1" ht="15" customHeight="1">
      <c r="E37" s="181"/>
      <c r="F37" s="222"/>
      <c r="G37" s="181"/>
      <c r="H37" s="161"/>
      <c r="I37" s="197"/>
      <c r="J37" s="13"/>
      <c r="K37" s="83"/>
      <c r="L37" s="161"/>
      <c r="M37" s="197"/>
    </row>
    <row r="38" spans="5:18" s="61" customFormat="1" ht="15" customHeight="1">
      <c r="E38" s="8" t="s">
        <v>34</v>
      </c>
      <c r="F38" s="222">
        <f>F17</f>
        <v>2167956.27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5:18" s="61" customFormat="1" ht="15" customHeight="1">
      <c r="E39" s="8" t="s">
        <v>35</v>
      </c>
      <c r="F39" s="222">
        <f>+E19</f>
        <v>415763.47000000003</v>
      </c>
      <c r="G39" s="86"/>
      <c r="I39" s="197"/>
      <c r="J39" s="13"/>
      <c r="K39" s="85"/>
      <c r="M39" s="197"/>
    </row>
    <row r="40" spans="5:18" s="61" customFormat="1" ht="15" customHeight="1">
      <c r="E40" s="8" t="s">
        <v>36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5:18" s="61" customFormat="1" ht="15" customHeight="1">
      <c r="E41" s="8" t="s">
        <v>37</v>
      </c>
      <c r="F41" s="222">
        <v>0</v>
      </c>
      <c r="G41" s="9"/>
      <c r="I41" s="197"/>
      <c r="J41" s="13"/>
      <c r="M41" s="197"/>
    </row>
    <row r="42" spans="5:18" s="61" customFormat="1" ht="15" customHeight="1">
      <c r="E42" s="182" t="s">
        <v>38</v>
      </c>
      <c r="F42" s="223">
        <f>SUM(F38:F41)</f>
        <v>2583719.7400000002</v>
      </c>
      <c r="G42" s="9"/>
      <c r="I42" s="197"/>
      <c r="J42" s="13"/>
      <c r="M42" s="197"/>
      <c r="N42" s="272"/>
      <c r="P42" s="273"/>
      <c r="R42" s="273"/>
    </row>
    <row r="43" spans="5:18" s="61" customFormat="1" ht="15" customHeight="1">
      <c r="E43" s="183"/>
      <c r="F43" s="224"/>
      <c r="G43" s="9"/>
      <c r="H43" s="163"/>
      <c r="I43" s="229"/>
      <c r="J43" s="13"/>
      <c r="L43" s="163"/>
      <c r="M43" s="229"/>
    </row>
    <row r="44" spans="5:18" s="61" customFormat="1" ht="15" customHeight="1">
      <c r="E44" s="183" t="s">
        <v>152</v>
      </c>
      <c r="F44" s="224">
        <v>115000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5:18" s="61" customFormat="1" ht="15" customHeight="1">
      <c r="E45" s="183" t="s">
        <v>189</v>
      </c>
      <c r="F45" s="224">
        <v>1200000</v>
      </c>
      <c r="G45" s="9"/>
      <c r="H45" s="165"/>
      <c r="I45" s="230"/>
      <c r="J45" s="13"/>
    </row>
    <row r="46" spans="5:18" s="61" customFormat="1" ht="15" customHeight="1">
      <c r="E46" s="183" t="s">
        <v>78</v>
      </c>
      <c r="F46" s="224">
        <v>115000</v>
      </c>
      <c r="G46" s="9"/>
      <c r="H46" s="165"/>
      <c r="I46" s="230"/>
      <c r="J46" s="13"/>
    </row>
    <row r="47" spans="5:18" s="61" customFormat="1" ht="15" customHeight="1">
      <c r="E47" s="183" t="s">
        <v>105</v>
      </c>
      <c r="F47" s="224">
        <v>65000</v>
      </c>
      <c r="G47" s="9"/>
      <c r="H47" s="165"/>
      <c r="I47" s="230"/>
      <c r="J47" s="13"/>
    </row>
    <row r="48" spans="5:18" s="61" customFormat="1" ht="15" customHeight="1">
      <c r="E48" s="183" t="s">
        <v>69</v>
      </c>
      <c r="F48" s="224">
        <v>60000</v>
      </c>
      <c r="G48" s="9"/>
      <c r="H48" s="165"/>
      <c r="I48" s="230"/>
      <c r="J48" s="13"/>
    </row>
    <row r="49" spans="5:13" s="61" customFormat="1" ht="15" customHeight="1">
      <c r="E49" s="116" t="s">
        <v>24</v>
      </c>
      <c r="F49" s="220">
        <v>0</v>
      </c>
      <c r="G49" s="9"/>
      <c r="H49" s="165"/>
      <c r="I49" s="230"/>
      <c r="J49" s="13"/>
    </row>
    <row r="50" spans="5:13" s="61" customFormat="1">
      <c r="E50" s="116" t="s">
        <v>22</v>
      </c>
      <c r="F50" s="220">
        <f>50000-25000</f>
        <v>25000</v>
      </c>
      <c r="G50" s="8"/>
      <c r="H50" s="91"/>
      <c r="I50" s="231"/>
      <c r="J50" s="13"/>
    </row>
    <row r="51" spans="5:13" s="61" customFormat="1">
      <c r="E51" s="116" t="s">
        <v>346</v>
      </c>
      <c r="F51" s="220">
        <v>50000</v>
      </c>
      <c r="G51" s="8"/>
      <c r="H51" s="96"/>
      <c r="I51" s="231"/>
      <c r="J51" s="262"/>
    </row>
    <row r="52" spans="5:13" s="61" customFormat="1">
      <c r="E52" s="116" t="s">
        <v>347</v>
      </c>
      <c r="F52" s="220">
        <v>500000</v>
      </c>
      <c r="G52" s="8"/>
      <c r="H52" s="96"/>
      <c r="I52" s="231"/>
      <c r="J52" s="262"/>
    </row>
    <row r="53" spans="5:13" s="61" customFormat="1">
      <c r="E53" s="116" t="s">
        <v>40</v>
      </c>
      <c r="F53" s="226">
        <f>100000-30000</f>
        <v>70000</v>
      </c>
      <c r="G53" s="8"/>
      <c r="H53" s="96"/>
      <c r="I53" s="231"/>
      <c r="J53" s="262"/>
    </row>
    <row r="54" spans="5:13" s="61" customFormat="1">
      <c r="E54" s="118" t="s">
        <v>41</v>
      </c>
      <c r="F54" s="225">
        <f>SUM(F44:F53)</f>
        <v>2200000</v>
      </c>
      <c r="G54" s="82"/>
      <c r="H54" s="83"/>
      <c r="I54" s="228"/>
      <c r="J54" s="13"/>
    </row>
    <row r="55" spans="5:13" s="61" customFormat="1">
      <c r="E55" s="118" t="s">
        <v>42</v>
      </c>
      <c r="F55" s="225">
        <f>F42-F54</f>
        <v>383719.74000000022</v>
      </c>
      <c r="G55" s="82"/>
      <c r="H55" s="83"/>
      <c r="I55" s="233"/>
      <c r="J55" s="13"/>
      <c r="L55" s="91"/>
      <c r="M55" s="232"/>
    </row>
    <row r="56" spans="5:13" s="61" customFormat="1">
      <c r="E56" s="8"/>
      <c r="F56" s="154"/>
      <c r="G56" s="82"/>
      <c r="H56" s="83"/>
      <c r="I56" s="233"/>
      <c r="J56" s="13"/>
      <c r="L56" s="91"/>
      <c r="M56" s="232"/>
    </row>
    <row r="57" spans="5:13" s="61" customFormat="1">
      <c r="E57" s="82" t="s">
        <v>43</v>
      </c>
      <c r="F57" s="80">
        <f>43800+180000</f>
        <v>223800</v>
      </c>
      <c r="G57" s="82"/>
      <c r="H57" s="83"/>
      <c r="I57" s="233"/>
      <c r="J57" s="13"/>
      <c r="L57" s="96"/>
      <c r="M57" s="231"/>
    </row>
    <row r="58" spans="5:13" s="61" customFormat="1">
      <c r="E58" s="82" t="s">
        <v>44</v>
      </c>
      <c r="F58" s="80">
        <v>365000</v>
      </c>
      <c r="G58" s="82"/>
      <c r="H58" s="96"/>
      <c r="I58" s="228"/>
      <c r="J58" s="13"/>
      <c r="L58" s="96"/>
      <c r="M58" s="233"/>
    </row>
    <row r="59" spans="5:13" s="61" customFormat="1">
      <c r="E59" s="82" t="s">
        <v>45</v>
      </c>
      <c r="F59" s="117">
        <v>0</v>
      </c>
      <c r="G59" s="82"/>
      <c r="H59" s="83"/>
      <c r="I59" s="233"/>
      <c r="J59" s="13"/>
    </row>
    <row r="60" spans="5:13" s="61" customFormat="1">
      <c r="E60" s="82" t="s">
        <v>205</v>
      </c>
      <c r="F60" s="117">
        <v>0</v>
      </c>
      <c r="G60"/>
      <c r="H60" s="96"/>
      <c r="I60" s="219"/>
      <c r="J60" s="13"/>
      <c r="L60" s="83"/>
      <c r="M60" s="228"/>
    </row>
    <row r="61" spans="5:13">
      <c r="E61" s="82" t="s">
        <v>206</v>
      </c>
      <c r="F61" s="117">
        <v>0</v>
      </c>
      <c r="H61" s="61"/>
      <c r="I61" s="61"/>
      <c r="J61" s="13"/>
      <c r="K61" s="61"/>
      <c r="L61" s="61"/>
      <c r="M61" s="61"/>
    </row>
    <row r="62" spans="5:13">
      <c r="E62" s="118" t="s">
        <v>46</v>
      </c>
      <c r="F62" s="120">
        <f>SUM(F57:F61)</f>
        <v>588800</v>
      </c>
      <c r="H62" s="61"/>
      <c r="I62" s="61"/>
      <c r="J62" s="13"/>
      <c r="K62" s="61"/>
      <c r="L62" s="61"/>
      <c r="M62" s="61"/>
    </row>
    <row r="63" spans="5:13">
      <c r="E63" s="82"/>
      <c r="F63" s="80"/>
    </row>
    <row r="64" spans="5:13">
      <c r="E64" s="118" t="s">
        <v>47</v>
      </c>
      <c r="F64" s="120">
        <f>F55-F62</f>
        <v>-205080.25999999978</v>
      </c>
      <c r="G64" s="8"/>
    </row>
    <row r="65" spans="1:7">
      <c r="D65" s="247" t="s">
        <v>192</v>
      </c>
      <c r="E65" s="61"/>
      <c r="F65" s="220"/>
      <c r="G65" s="8"/>
    </row>
    <row r="66" spans="1:7">
      <c r="D66" s="247" t="s">
        <v>194</v>
      </c>
      <c r="E66" s="61"/>
      <c r="F66" s="220"/>
      <c r="G66" s="8"/>
    </row>
    <row r="67" spans="1:7">
      <c r="D67" s="8" t="s">
        <v>9</v>
      </c>
      <c r="E67" s="61"/>
      <c r="F67" s="219"/>
      <c r="G67" s="8"/>
    </row>
    <row r="68" spans="1:7">
      <c r="D68" s="8" t="s">
        <v>195</v>
      </c>
      <c r="E68" s="61"/>
      <c r="F68" s="219"/>
      <c r="G68" s="124">
        <f>SUM(E74:F74)</f>
        <v>0</v>
      </c>
    </row>
    <row r="69" spans="1:7">
      <c r="D69" s="8" t="s">
        <v>188</v>
      </c>
      <c r="E69" s="243"/>
      <c r="F69" s="243"/>
      <c r="G69" s="8"/>
    </row>
    <row r="70" spans="1:7">
      <c r="D70" s="8"/>
      <c r="E70" s="243"/>
      <c r="F70" s="244"/>
    </row>
    <row r="71" spans="1:7">
      <c r="E71" s="245"/>
      <c r="F71" s="246"/>
    </row>
    <row r="72" spans="1:7">
      <c r="E72" s="276"/>
      <c r="F72" s="287"/>
    </row>
    <row r="73" spans="1:7">
      <c r="E73" s="276"/>
      <c r="F73" s="287"/>
    </row>
    <row r="74" spans="1:7">
      <c r="E74" s="127"/>
      <c r="F74" s="287"/>
    </row>
    <row r="75" spans="1:7">
      <c r="E75" s="79"/>
    </row>
    <row r="76" spans="1:7">
      <c r="A76" s="268"/>
      <c r="E76" s="79"/>
    </row>
    <row r="77" spans="1:7">
      <c r="E77" s="79"/>
    </row>
    <row r="78" spans="1:7">
      <c r="E78" s="79"/>
    </row>
    <row r="79" spans="1:7">
      <c r="B79" s="235"/>
      <c r="E79" s="79"/>
    </row>
    <row r="80" spans="1:7">
      <c r="E80" s="79"/>
    </row>
    <row r="81" spans="1:5">
      <c r="E81" s="277"/>
    </row>
    <row r="82" spans="1:5">
      <c r="A82" s="269"/>
      <c r="C82" s="155"/>
      <c r="E82" s="79"/>
    </row>
    <row r="83" spans="1:5">
      <c r="E83" s="277"/>
    </row>
    <row r="84" spans="1:5">
      <c r="A84" s="269"/>
      <c r="C84" s="155"/>
      <c r="E84" s="79"/>
    </row>
    <row r="85" spans="1:5">
      <c r="E85" s="277"/>
    </row>
    <row r="86" spans="1:5">
      <c r="A86" s="269"/>
      <c r="C86" s="155"/>
      <c r="E86" s="79"/>
    </row>
    <row r="87" spans="1:5">
      <c r="E87" s="277"/>
    </row>
    <row r="88" spans="1:5">
      <c r="A88" s="269"/>
      <c r="C88" s="155"/>
      <c r="E88" s="79"/>
    </row>
    <row r="89" spans="1:5">
      <c r="E89" s="277"/>
    </row>
    <row r="90" spans="1:5">
      <c r="A90" s="269"/>
      <c r="C90" s="155"/>
      <c r="E90" s="79"/>
    </row>
    <row r="91" spans="1:5">
      <c r="E91" s="277"/>
    </row>
    <row r="92" spans="1:5">
      <c r="A92" s="269"/>
      <c r="C92" s="155"/>
      <c r="E92" s="79"/>
    </row>
    <row r="93" spans="1:5">
      <c r="E93" s="277"/>
    </row>
    <row r="94" spans="1:5">
      <c r="A94" s="269"/>
      <c r="C94" s="155"/>
      <c r="E94" s="79"/>
    </row>
    <row r="95" spans="1:5">
      <c r="E95" s="277"/>
    </row>
    <row r="96" spans="1:5">
      <c r="A96" s="269"/>
      <c r="C96" s="155"/>
      <c r="E96" s="79"/>
    </row>
    <row r="97" spans="1:5">
      <c r="E97" s="277"/>
    </row>
    <row r="98" spans="1:5">
      <c r="A98" s="269"/>
      <c r="C98" s="155"/>
      <c r="E98" s="79"/>
    </row>
    <row r="99" spans="1:5">
      <c r="E99" s="277"/>
    </row>
    <row r="100" spans="1:5">
      <c r="A100" s="269"/>
      <c r="C100" s="155"/>
      <c r="E100" s="79"/>
    </row>
    <row r="101" spans="1:5">
      <c r="E101" s="277"/>
    </row>
    <row r="102" spans="1:5">
      <c r="A102" s="269"/>
      <c r="C102" s="155"/>
      <c r="E102" s="79"/>
    </row>
    <row r="103" spans="1:5">
      <c r="E103" s="277"/>
    </row>
    <row r="104" spans="1:5">
      <c r="A104" s="269"/>
      <c r="C104" s="155"/>
      <c r="E104" s="79"/>
    </row>
    <row r="105" spans="1:5">
      <c r="E105" s="277"/>
    </row>
    <row r="106" spans="1:5">
      <c r="A106" s="269"/>
      <c r="C106" s="155"/>
      <c r="E106" s="79"/>
    </row>
    <row r="107" spans="1:5">
      <c r="E107" s="277"/>
    </row>
    <row r="108" spans="1:5">
      <c r="A108" s="269"/>
      <c r="C108" s="155"/>
      <c r="E108" s="79"/>
    </row>
    <row r="109" spans="1:5">
      <c r="E109" s="277"/>
    </row>
    <row r="110" spans="1:5">
      <c r="A110" s="269"/>
      <c r="C110" s="155"/>
      <c r="E110" s="79"/>
    </row>
    <row r="111" spans="1:5">
      <c r="E111" s="277"/>
    </row>
    <row r="112" spans="1:5">
      <c r="A112" s="269"/>
      <c r="C112" s="155"/>
      <c r="E112" s="79"/>
    </row>
    <row r="113" spans="1:5">
      <c r="E113" s="277"/>
    </row>
    <row r="114" spans="1:5">
      <c r="A114" s="269"/>
      <c r="C114" s="155"/>
      <c r="E114" s="79"/>
    </row>
    <row r="115" spans="1:5">
      <c r="E115" s="277"/>
    </row>
    <row r="116" spans="1:5">
      <c r="A116" s="269"/>
      <c r="C116" s="155"/>
      <c r="E116" s="79"/>
    </row>
    <row r="117" spans="1:5">
      <c r="E117" s="277"/>
    </row>
    <row r="118" spans="1:5">
      <c r="A118" s="269"/>
      <c r="C118" s="155"/>
      <c r="E118" s="79"/>
    </row>
    <row r="119" spans="1:5">
      <c r="E119" s="277"/>
    </row>
    <row r="120" spans="1:5">
      <c r="A120" s="269"/>
      <c r="C120" s="155"/>
      <c r="E120" s="79"/>
    </row>
    <row r="121" spans="1:5">
      <c r="E121" s="277"/>
    </row>
    <row r="122" spans="1:5">
      <c r="A122" s="269"/>
      <c r="C122" s="155"/>
      <c r="E122" s="79"/>
    </row>
    <row r="123" spans="1:5">
      <c r="E123" s="277"/>
    </row>
    <row r="124" spans="1:5">
      <c r="A124" s="269"/>
      <c r="C124" s="155"/>
      <c r="E124" s="79"/>
    </row>
    <row r="125" spans="1:5">
      <c r="E125" s="277"/>
    </row>
    <row r="126" spans="1:5">
      <c r="A126" s="269"/>
      <c r="C126" s="155"/>
    </row>
    <row r="127" spans="1:5">
      <c r="E127" s="155"/>
    </row>
    <row r="128" spans="1:5">
      <c r="A128" s="269"/>
      <c r="C128" s="155"/>
    </row>
    <row r="129" spans="1:5">
      <c r="E129" s="155"/>
    </row>
    <row r="130" spans="1:5">
      <c r="A130" s="269"/>
      <c r="C130" s="155"/>
    </row>
    <row r="131" spans="1:5">
      <c r="E131" s="155"/>
    </row>
    <row r="132" spans="1:5">
      <c r="A132" s="269"/>
      <c r="C132" s="155"/>
    </row>
    <row r="133" spans="1:5">
      <c r="E133" s="155"/>
    </row>
    <row r="134" spans="1:5">
      <c r="A134" s="269"/>
      <c r="C134" s="155"/>
    </row>
    <row r="135" spans="1:5">
      <c r="E135" s="155"/>
    </row>
    <row r="136" spans="1:5">
      <c r="A136" s="269"/>
      <c r="C136" s="155"/>
    </row>
    <row r="137" spans="1:5">
      <c r="E137" s="155"/>
    </row>
    <row r="138" spans="1:5">
      <c r="A138" s="269"/>
      <c r="C138" s="155"/>
    </row>
    <row r="139" spans="1:5">
      <c r="E139" s="155"/>
    </row>
    <row r="140" spans="1:5">
      <c r="A140" s="269"/>
      <c r="C140" s="155"/>
    </row>
    <row r="141" spans="1:5">
      <c r="E141" s="155"/>
    </row>
    <row r="142" spans="1:5">
      <c r="A142" s="269"/>
      <c r="C142" s="155"/>
    </row>
    <row r="143" spans="1:5">
      <c r="E143" s="155"/>
    </row>
    <row r="144" spans="1:5">
      <c r="A144" s="269"/>
      <c r="C144" s="155"/>
    </row>
    <row r="145" spans="1:5">
      <c r="E145" s="155"/>
    </row>
    <row r="146" spans="1:5">
      <c r="A146" s="269"/>
      <c r="C146" s="155"/>
    </row>
    <row r="147" spans="1:5">
      <c r="E147" s="155"/>
    </row>
    <row r="148" spans="1:5">
      <c r="A148" s="269"/>
      <c r="C148" s="155"/>
    </row>
    <row r="149" spans="1:5">
      <c r="E149" s="155"/>
    </row>
    <row r="150" spans="1:5">
      <c r="A150" s="269"/>
      <c r="C150" s="155"/>
    </row>
    <row r="151" spans="1:5">
      <c r="E151" s="155"/>
    </row>
    <row r="152" spans="1:5">
      <c r="A152" s="269"/>
      <c r="C152" s="155"/>
    </row>
    <row r="153" spans="1:5">
      <c r="E153" s="155"/>
    </row>
    <row r="154" spans="1:5">
      <c r="A154" s="269"/>
      <c r="C154" s="155"/>
    </row>
    <row r="155" spans="1:5">
      <c r="E155" s="155"/>
    </row>
    <row r="156" spans="1:5">
      <c r="A156" s="269"/>
      <c r="C156" s="155"/>
    </row>
    <row r="157" spans="1:5">
      <c r="E157" s="155"/>
    </row>
    <row r="158" spans="1:5">
      <c r="A158" s="269"/>
      <c r="C158" s="155"/>
    </row>
    <row r="159" spans="1:5">
      <c r="E159" s="155"/>
    </row>
    <row r="160" spans="1:5">
      <c r="A160" s="269"/>
      <c r="C160" s="155"/>
    </row>
    <row r="161" spans="1:5">
      <c r="E161" s="155"/>
    </row>
    <row r="162" spans="1:5">
      <c r="A162" s="269"/>
      <c r="C162" s="155"/>
    </row>
    <row r="163" spans="1:5">
      <c r="E163" s="155"/>
    </row>
    <row r="164" spans="1:5">
      <c r="A164" s="269"/>
      <c r="C164" s="155"/>
    </row>
    <row r="165" spans="1:5">
      <c r="E165" s="155"/>
    </row>
    <row r="166" spans="1:5">
      <c r="A166" s="269"/>
      <c r="C166" s="155"/>
    </row>
    <row r="167" spans="1:5">
      <c r="E167" s="155"/>
    </row>
    <row r="168" spans="1:5">
      <c r="A168" s="269"/>
      <c r="C168" s="155"/>
    </row>
    <row r="169" spans="1:5">
      <c r="E169" s="155"/>
    </row>
    <row r="170" spans="1:5">
      <c r="A170" s="269"/>
      <c r="C170" s="155"/>
    </row>
    <row r="171" spans="1:5">
      <c r="E171" s="155"/>
    </row>
    <row r="172" spans="1:5">
      <c r="A172" s="269"/>
      <c r="C172" s="155"/>
    </row>
    <row r="173" spans="1:5">
      <c r="E173" s="155"/>
    </row>
    <row r="174" spans="1:5">
      <c r="A174" s="269"/>
      <c r="C174" s="155"/>
    </row>
    <row r="175" spans="1:5">
      <c r="E175" s="155"/>
    </row>
    <row r="176" spans="1:5">
      <c r="A176" s="269"/>
      <c r="C176" s="155"/>
    </row>
    <row r="177" spans="1:5">
      <c r="E177" s="155"/>
    </row>
    <row r="178" spans="1:5">
      <c r="A178" s="269"/>
      <c r="C178" s="155"/>
    </row>
    <row r="179" spans="1:5">
      <c r="E179" s="155"/>
    </row>
    <row r="180" spans="1:5">
      <c r="A180" s="269"/>
      <c r="C180" s="155"/>
    </row>
    <row r="181" spans="1:5">
      <c r="E181" s="155"/>
    </row>
    <row r="182" spans="1:5">
      <c r="A182" s="269"/>
      <c r="C182" s="155"/>
    </row>
    <row r="183" spans="1:5">
      <c r="E183" s="155"/>
    </row>
    <row r="184" spans="1:5">
      <c r="A184" s="269"/>
      <c r="C184" s="155"/>
    </row>
    <row r="185" spans="1:5">
      <c r="E185" s="155"/>
    </row>
    <row r="186" spans="1:5">
      <c r="A186" s="269"/>
      <c r="C186" s="155"/>
    </row>
    <row r="187" spans="1:5">
      <c r="E187" s="155"/>
    </row>
    <row r="188" spans="1:5">
      <c r="A188" s="269"/>
      <c r="C188" s="155"/>
    </row>
    <row r="189" spans="1:5">
      <c r="E189" s="155"/>
    </row>
    <row r="190" spans="1:5">
      <c r="A190" s="269"/>
      <c r="C190" s="155"/>
    </row>
    <row r="191" spans="1:5">
      <c r="E191" s="155"/>
    </row>
    <row r="192" spans="1:5">
      <c r="A192" s="269"/>
      <c r="C192" s="155"/>
    </row>
    <row r="193" spans="1:5">
      <c r="E193" s="155"/>
    </row>
    <row r="194" spans="1:5">
      <c r="A194" s="269"/>
      <c r="C194" s="155"/>
    </row>
    <row r="195" spans="1:5">
      <c r="E195" s="155"/>
    </row>
    <row r="196" spans="1:5">
      <c r="A196" s="269"/>
      <c r="C196" s="155"/>
    </row>
    <row r="197" spans="1:5">
      <c r="E197" s="155"/>
    </row>
    <row r="198" spans="1:5">
      <c r="A198" s="269"/>
      <c r="C198" s="155"/>
    </row>
    <row r="199" spans="1:5">
      <c r="E199" s="155"/>
    </row>
    <row r="200" spans="1:5">
      <c r="A200" s="269"/>
      <c r="C200" s="155"/>
    </row>
    <row r="201" spans="1:5">
      <c r="E201" s="155"/>
    </row>
    <row r="202" spans="1:5">
      <c r="A202" s="269"/>
      <c r="D202" s="155"/>
    </row>
    <row r="203" spans="1:5">
      <c r="E203" s="155"/>
    </row>
    <row r="204" spans="1:5">
      <c r="A204" s="269"/>
      <c r="C204" s="155"/>
    </row>
    <row r="205" spans="1:5">
      <c r="E205" s="155"/>
    </row>
    <row r="206" spans="1:5">
      <c r="A206" s="269"/>
      <c r="C206" s="155"/>
    </row>
    <row r="207" spans="1:5">
      <c r="E207" s="155"/>
    </row>
    <row r="208" spans="1:5">
      <c r="A208" s="269"/>
      <c r="C208" s="155"/>
    </row>
    <row r="209" spans="1:5">
      <c r="E209" s="155"/>
    </row>
    <row r="210" spans="1:5">
      <c r="A210" s="269"/>
      <c r="C210" s="155"/>
    </row>
    <row r="211" spans="1:5">
      <c r="E211" s="155"/>
    </row>
    <row r="212" spans="1:5">
      <c r="A212" s="269"/>
      <c r="C212" s="155"/>
    </row>
  </sheetData>
  <mergeCells count="16"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16158-70DD-49A9-9E82-648692B8AFCD}">
  <dimension ref="A6:R212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34" t="s">
        <v>3</v>
      </c>
      <c r="C14" s="335"/>
      <c r="D14" s="336"/>
      <c r="E14" s="17">
        <f>SUM(E15:E17)</f>
        <v>900075.46000000008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37" t="s">
        <v>5</v>
      </c>
      <c r="C15" s="338"/>
      <c r="D15" s="339"/>
      <c r="E15" s="20">
        <f>J16+J17+J18+J19</f>
        <v>707144.32000000007</v>
      </c>
      <c r="F15" s="153">
        <f>E15+E16+E17</f>
        <v>900075.46000000008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349" t="s">
        <v>7</v>
      </c>
      <c r="C16" s="350"/>
      <c r="D16" s="351"/>
      <c r="E16" s="20">
        <f>G22+G23</f>
        <v>38476.300000000003</v>
      </c>
      <c r="F16" s="153">
        <v>90000</v>
      </c>
      <c r="G16" s="22">
        <v>7198.32</v>
      </c>
      <c r="H16" s="23" t="s">
        <v>8</v>
      </c>
      <c r="I16" s="24"/>
      <c r="J16" s="25">
        <v>40711.69</v>
      </c>
      <c r="K16" s="26" t="s">
        <v>9</v>
      </c>
      <c r="L16" s="13"/>
      <c r="N16" s="3"/>
    </row>
    <row r="17" spans="2:18">
      <c r="B17" s="352" t="s">
        <v>6</v>
      </c>
      <c r="C17" s="353"/>
      <c r="D17" s="354"/>
      <c r="E17" s="28">
        <f>G16+G17+G18</f>
        <v>154454.84</v>
      </c>
      <c r="F17" s="153">
        <f>+F15-F16</f>
        <v>810075.46000000008</v>
      </c>
      <c r="G17" s="22">
        <v>136598.84</v>
      </c>
      <c r="H17" s="29" t="s">
        <v>10</v>
      </c>
      <c r="I17" s="30"/>
      <c r="J17" s="25">
        <v>12665.48</v>
      </c>
      <c r="K17" s="31" t="s">
        <v>10</v>
      </c>
      <c r="N17" s="3"/>
    </row>
    <row r="18" spans="2:18">
      <c r="B18" s="236" t="s">
        <v>187</v>
      </c>
      <c r="C18" s="237"/>
      <c r="D18" s="238"/>
      <c r="E18" s="28">
        <f>+J22</f>
        <v>14541.8</v>
      </c>
      <c r="F18" s="153"/>
      <c r="G18" s="22">
        <v>10657.68</v>
      </c>
      <c r="H18" s="29" t="s">
        <v>12</v>
      </c>
      <c r="I18" s="30"/>
      <c r="J18" s="25">
        <v>470205.02</v>
      </c>
      <c r="K18" s="31" t="s">
        <v>12</v>
      </c>
      <c r="L18" s="152"/>
      <c r="N18" s="3"/>
    </row>
    <row r="19" spans="2:18">
      <c r="B19" s="379" t="s">
        <v>11</v>
      </c>
      <c r="C19" s="380"/>
      <c r="D19" s="381"/>
      <c r="E19" s="20">
        <f>G29+G31+G30+G28</f>
        <v>335923.06</v>
      </c>
      <c r="F19" s="153"/>
      <c r="G19" s="33"/>
      <c r="H19" s="34"/>
      <c r="I19" s="30"/>
      <c r="J19" s="25">
        <v>183562.13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f>15220472.5-E21</f>
        <v>15219544.5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SUM(E22:E24)</f>
        <v>928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351</v>
      </c>
      <c r="E22" s="190">
        <v>928</v>
      </c>
      <c r="F22" s="153"/>
      <c r="G22" s="44">
        <v>23707.040000000001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187"/>
      <c r="C23" s="188"/>
      <c r="D23" s="198"/>
      <c r="E23" s="190"/>
      <c r="F23" s="153"/>
      <c r="G23" s="44">
        <v>14769.26</v>
      </c>
      <c r="H23" s="29" t="s">
        <v>18</v>
      </c>
      <c r="I23" s="30"/>
      <c r="J23" s="25"/>
      <c r="K23" s="31"/>
    </row>
    <row r="24" spans="2:18" ht="15" thickBot="1">
      <c r="B24" s="206"/>
      <c r="C24" s="205"/>
      <c r="D24" s="208"/>
      <c r="E24" s="190"/>
      <c r="F24" s="220"/>
      <c r="G24" s="51"/>
      <c r="H24" s="34"/>
      <c r="I24" s="30"/>
      <c r="J24" s="210"/>
      <c r="K24" s="53"/>
    </row>
    <row r="25" spans="2:18" ht="15" thickBot="1">
      <c r="B25" s="46" t="s">
        <v>17</v>
      </c>
      <c r="C25" s="47"/>
      <c r="D25" s="48"/>
      <c r="E25" s="234">
        <f>117000+50357.47</f>
        <v>167357.47</v>
      </c>
      <c r="F25" s="153">
        <f>+F17-E25</f>
        <v>642717.99000000011</v>
      </c>
      <c r="G25" s="331" t="s">
        <v>21</v>
      </c>
      <c r="H25" s="332"/>
      <c r="I25" s="332"/>
      <c r="J25" s="332"/>
      <c r="K25" s="333"/>
      <c r="N25" s="269"/>
      <c r="Q25" s="155"/>
      <c r="R25" s="155"/>
    </row>
    <row r="26" spans="2:18">
      <c r="B26" s="202" t="s">
        <v>349</v>
      </c>
      <c r="C26" s="203"/>
      <c r="D26" s="204"/>
      <c r="E26" s="234">
        <v>93279</v>
      </c>
      <c r="F26" s="288">
        <f>SUM(E25:E31)</f>
        <v>320636.46999999997</v>
      </c>
      <c r="G26" s="54"/>
      <c r="H26" s="55"/>
      <c r="I26" s="56"/>
      <c r="J26" s="211"/>
      <c r="K26" s="58"/>
      <c r="N26" s="269"/>
      <c r="P26" s="155"/>
      <c r="R26" s="155"/>
    </row>
    <row r="27" spans="2:18">
      <c r="B27" s="199" t="s">
        <v>23</v>
      </c>
      <c r="C27" s="200"/>
      <c r="D27" s="201"/>
      <c r="E27" s="49">
        <v>0</v>
      </c>
      <c r="F27" s="153">
        <f>+F25-F26</f>
        <v>322081.52000000014</v>
      </c>
      <c r="G27" s="377" t="s">
        <v>5</v>
      </c>
      <c r="H27" s="378"/>
      <c r="I27" s="59"/>
      <c r="J27" s="60"/>
      <c r="K27" s="45"/>
    </row>
    <row r="28" spans="2:18">
      <c r="B28" s="199" t="s">
        <v>81</v>
      </c>
      <c r="C28" s="200"/>
      <c r="D28" s="201"/>
      <c r="E28" s="49">
        <v>0</v>
      </c>
      <c r="F28" s="221"/>
      <c r="G28" s="22">
        <f>24004.74-11500-8500</f>
        <v>4004.7400000000016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24</v>
      </c>
      <c r="C29" s="200"/>
      <c r="D29" s="201"/>
      <c r="E29" s="49">
        <v>0</v>
      </c>
      <c r="F29" s="220"/>
      <c r="G29" s="22">
        <f>476231.14- 154326.09</f>
        <v>321905.05000000005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344" t="s">
        <v>25</v>
      </c>
      <c r="C30" s="345"/>
      <c r="D30" s="346"/>
      <c r="E30" s="49">
        <v>60000</v>
      </c>
      <c r="F30" s="220"/>
      <c r="G30" s="67">
        <v>1749.5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63" t="s">
        <v>29</v>
      </c>
      <c r="C31" s="364"/>
      <c r="D31" s="365"/>
      <c r="E31" s="66">
        <v>0</v>
      </c>
      <c r="F31" s="220"/>
      <c r="G31" s="71">
        <f>400519.41-392255.64</f>
        <v>8263.7699999999604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61"/>
      <c r="F32" s="220"/>
      <c r="N32" s="269"/>
      <c r="P32" s="155"/>
      <c r="R32" s="155"/>
    </row>
    <row r="33" spans="5:18">
      <c r="E33" s="61"/>
      <c r="F33" s="220"/>
    </row>
    <row r="34" spans="5:18">
      <c r="E34" s="61"/>
      <c r="F34" s="220"/>
      <c r="H34" s="61"/>
      <c r="I34" s="61"/>
      <c r="J34" s="13"/>
      <c r="K34" s="61"/>
      <c r="L34" s="61"/>
      <c r="M34" s="61"/>
      <c r="N34" s="269"/>
      <c r="P34" s="155"/>
      <c r="R34" s="155"/>
    </row>
    <row r="35" spans="5:18">
      <c r="E35" s="61"/>
      <c r="F35" s="220"/>
      <c r="H35" s="61"/>
      <c r="I35" s="61"/>
      <c r="J35" s="13"/>
      <c r="K35" s="61"/>
      <c r="L35" s="61"/>
      <c r="M35" s="61"/>
    </row>
    <row r="36" spans="5:18" s="61" customFormat="1" ht="15" customHeight="1">
      <c r="E36" s="181" t="s">
        <v>345</v>
      </c>
      <c r="F36" s="222"/>
      <c r="G36" s="8"/>
      <c r="H36" s="13"/>
      <c r="J36" s="13"/>
      <c r="K36" s="83"/>
      <c r="L36" s="88"/>
      <c r="N36" s="272"/>
      <c r="P36" s="273"/>
      <c r="R36" s="273"/>
    </row>
    <row r="37" spans="5:18" s="61" customFormat="1" ht="15" customHeight="1">
      <c r="E37" s="181"/>
      <c r="F37" s="222"/>
      <c r="G37" s="181"/>
      <c r="H37" s="161"/>
      <c r="I37" s="197"/>
      <c r="J37" s="13"/>
      <c r="K37" s="83"/>
      <c r="L37" s="161"/>
      <c r="M37" s="197"/>
    </row>
    <row r="38" spans="5:18" s="61" customFormat="1" ht="15" customHeight="1">
      <c r="E38" s="8" t="s">
        <v>34</v>
      </c>
      <c r="F38" s="222">
        <f>F17</f>
        <v>810075.46000000008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5:18" s="61" customFormat="1" ht="15" customHeight="1">
      <c r="E39" s="8" t="s">
        <v>35</v>
      </c>
      <c r="F39" s="222">
        <f>+E19</f>
        <v>335923.06</v>
      </c>
      <c r="G39" s="86"/>
      <c r="I39" s="197"/>
      <c r="J39" s="13"/>
      <c r="K39" s="85"/>
      <c r="M39" s="197"/>
    </row>
    <row r="40" spans="5:18" s="61" customFormat="1" ht="15" customHeight="1">
      <c r="E40" s="8" t="s">
        <v>36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5:18" s="61" customFormat="1" ht="15" customHeight="1">
      <c r="E41" s="8" t="s">
        <v>37</v>
      </c>
      <c r="F41" s="222">
        <v>0</v>
      </c>
      <c r="G41" s="9"/>
      <c r="I41" s="197"/>
      <c r="J41" s="13"/>
      <c r="M41" s="197"/>
    </row>
    <row r="42" spans="5:18" s="61" customFormat="1" ht="15" customHeight="1">
      <c r="E42" s="182" t="s">
        <v>38</v>
      </c>
      <c r="F42" s="223">
        <f>SUM(F38:F41)</f>
        <v>1145998.52</v>
      </c>
      <c r="G42" s="9"/>
      <c r="I42" s="197"/>
      <c r="J42" s="13"/>
      <c r="M42" s="197"/>
      <c r="N42" s="272"/>
      <c r="P42" s="273"/>
      <c r="R42" s="273"/>
    </row>
    <row r="43" spans="5:18" s="61" customFormat="1" ht="15" customHeight="1">
      <c r="E43" s="183"/>
      <c r="F43" s="224"/>
      <c r="G43" s="9"/>
      <c r="H43" s="163"/>
      <c r="I43" s="229"/>
      <c r="J43" s="13"/>
      <c r="L43" s="163"/>
      <c r="M43" s="229"/>
    </row>
    <row r="44" spans="5:18" s="61" customFormat="1" ht="15" customHeight="1">
      <c r="E44" s="183" t="s">
        <v>152</v>
      </c>
      <c r="F44" s="224">
        <v>115000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5:18" s="61" customFormat="1" ht="15" customHeight="1">
      <c r="E45" s="183" t="s">
        <v>189</v>
      </c>
      <c r="F45" s="224">
        <v>0</v>
      </c>
      <c r="G45" s="9"/>
      <c r="H45" s="165"/>
      <c r="I45" s="230"/>
      <c r="J45" s="13"/>
    </row>
    <row r="46" spans="5:18" s="61" customFormat="1" ht="15" customHeight="1">
      <c r="E46" s="183" t="s">
        <v>78</v>
      </c>
      <c r="F46" s="224">
        <v>0</v>
      </c>
      <c r="G46" s="9"/>
      <c r="H46" s="165"/>
      <c r="I46" s="230"/>
      <c r="J46" s="13"/>
    </row>
    <row r="47" spans="5:18" s="61" customFormat="1" ht="15" customHeight="1">
      <c r="E47" s="183" t="s">
        <v>105</v>
      </c>
      <c r="F47" s="224">
        <v>65000</v>
      </c>
      <c r="G47" s="9"/>
      <c r="H47" s="165"/>
      <c r="I47" s="230"/>
      <c r="J47" s="13"/>
    </row>
    <row r="48" spans="5:18" s="61" customFormat="1" ht="15" customHeight="1">
      <c r="E48" s="183" t="s">
        <v>69</v>
      </c>
      <c r="F48" s="224">
        <v>60000</v>
      </c>
      <c r="G48" s="9"/>
      <c r="H48" s="165"/>
      <c r="I48" s="230"/>
      <c r="J48" s="13"/>
    </row>
    <row r="49" spans="5:13" s="61" customFormat="1" ht="15" customHeight="1">
      <c r="E49" s="116" t="s">
        <v>24</v>
      </c>
      <c r="F49" s="220">
        <v>0</v>
      </c>
      <c r="G49" s="9"/>
      <c r="H49" s="165"/>
      <c r="I49" s="230"/>
      <c r="J49" s="13"/>
    </row>
    <row r="50" spans="5:13" s="61" customFormat="1">
      <c r="E50" s="116" t="s">
        <v>22</v>
      </c>
      <c r="F50" s="220">
        <f>50000-25000</f>
        <v>25000</v>
      </c>
      <c r="G50" s="8"/>
      <c r="H50" s="91"/>
      <c r="I50" s="231"/>
      <c r="J50" s="13"/>
    </row>
    <row r="51" spans="5:13" s="61" customFormat="1">
      <c r="E51" s="116" t="s">
        <v>346</v>
      </c>
      <c r="F51" s="220">
        <v>50000</v>
      </c>
      <c r="G51" s="8"/>
      <c r="H51" s="96"/>
      <c r="I51" s="231"/>
      <c r="J51" s="262"/>
    </row>
    <row r="52" spans="5:13" s="61" customFormat="1">
      <c r="E52" s="116" t="s">
        <v>347</v>
      </c>
      <c r="F52" s="220">
        <v>500000</v>
      </c>
      <c r="G52" s="8"/>
      <c r="H52" s="96"/>
      <c r="I52" s="231"/>
      <c r="J52" s="262"/>
    </row>
    <row r="53" spans="5:13" s="61" customFormat="1">
      <c r="E53" s="116" t="s">
        <v>40</v>
      </c>
      <c r="F53" s="226">
        <f>100000-30000</f>
        <v>70000</v>
      </c>
      <c r="G53" s="8"/>
      <c r="H53" s="96"/>
      <c r="I53" s="231"/>
      <c r="J53" s="262"/>
    </row>
    <row r="54" spans="5:13" s="61" customFormat="1">
      <c r="E54" s="118" t="s">
        <v>41</v>
      </c>
      <c r="F54" s="225">
        <f>SUM(F44:F53)</f>
        <v>885000</v>
      </c>
      <c r="G54" s="82"/>
      <c r="H54" s="83"/>
      <c r="I54" s="228"/>
      <c r="J54" s="13"/>
    </row>
    <row r="55" spans="5:13" s="61" customFormat="1">
      <c r="E55" s="118" t="s">
        <v>42</v>
      </c>
      <c r="F55" s="225">
        <f>F42-F54</f>
        <v>260998.52000000002</v>
      </c>
      <c r="G55" s="82"/>
      <c r="H55" s="83"/>
      <c r="I55" s="233"/>
      <c r="J55" s="13"/>
      <c r="L55" s="91"/>
      <c r="M55" s="232"/>
    </row>
    <row r="56" spans="5:13" s="61" customFormat="1">
      <c r="E56" s="8"/>
      <c r="F56" s="154"/>
      <c r="G56" s="82"/>
      <c r="H56" s="83"/>
      <c r="I56" s="233"/>
      <c r="J56" s="13"/>
      <c r="L56" s="91"/>
      <c r="M56" s="232"/>
    </row>
    <row r="57" spans="5:13" s="61" customFormat="1">
      <c r="E57" s="82" t="s">
        <v>43</v>
      </c>
      <c r="F57" s="80">
        <f>43800+180000</f>
        <v>223800</v>
      </c>
      <c r="G57" s="82"/>
      <c r="H57" s="83"/>
      <c r="I57" s="233"/>
      <c r="J57" s="13"/>
      <c r="L57" s="96"/>
      <c r="M57" s="231"/>
    </row>
    <row r="58" spans="5:13" s="61" customFormat="1">
      <c r="E58" s="82" t="s">
        <v>44</v>
      </c>
      <c r="F58" s="80">
        <v>365000</v>
      </c>
      <c r="G58" s="82"/>
      <c r="H58" s="96"/>
      <c r="I58" s="228"/>
      <c r="J58" s="13"/>
      <c r="L58" s="96"/>
      <c r="M58" s="233"/>
    </row>
    <row r="59" spans="5:13" s="61" customFormat="1">
      <c r="E59" s="82" t="s">
        <v>45</v>
      </c>
      <c r="F59" s="117">
        <v>0</v>
      </c>
      <c r="G59" s="82"/>
      <c r="H59" s="83"/>
      <c r="I59" s="233"/>
      <c r="J59" s="13"/>
    </row>
    <row r="60" spans="5:13" s="61" customFormat="1">
      <c r="E60" s="82" t="s">
        <v>205</v>
      </c>
      <c r="F60" s="117">
        <v>0</v>
      </c>
      <c r="G60"/>
      <c r="H60" s="96"/>
      <c r="I60" s="219"/>
      <c r="J60" s="13"/>
      <c r="L60" s="83"/>
      <c r="M60" s="228"/>
    </row>
    <row r="61" spans="5:13">
      <c r="E61" s="82" t="s">
        <v>206</v>
      </c>
      <c r="F61" s="117">
        <v>0</v>
      </c>
      <c r="H61" s="61"/>
      <c r="I61" s="61"/>
      <c r="J61" s="13"/>
      <c r="K61" s="61"/>
      <c r="L61" s="61"/>
      <c r="M61" s="61"/>
    </row>
    <row r="62" spans="5:13">
      <c r="E62" s="118" t="s">
        <v>46</v>
      </c>
      <c r="F62" s="120">
        <f>SUM(F57:F61)</f>
        <v>588800</v>
      </c>
      <c r="H62" s="61"/>
      <c r="I62" s="61"/>
      <c r="J62" s="13"/>
      <c r="K62" s="61"/>
      <c r="L62" s="61"/>
      <c r="M62" s="61"/>
    </row>
    <row r="63" spans="5:13">
      <c r="E63" s="82"/>
      <c r="F63" s="80"/>
    </row>
    <row r="64" spans="5:13">
      <c r="E64" s="118" t="s">
        <v>47</v>
      </c>
      <c r="F64" s="120">
        <f>F55-F62</f>
        <v>-327801.48</v>
      </c>
      <c r="G64" s="8"/>
    </row>
    <row r="65" spans="1:7">
      <c r="D65" s="247" t="s">
        <v>192</v>
      </c>
      <c r="E65" s="61"/>
      <c r="F65" s="220"/>
      <c r="G65" s="8"/>
    </row>
    <row r="66" spans="1:7">
      <c r="D66" s="247" t="s">
        <v>194</v>
      </c>
      <c r="E66" s="61"/>
      <c r="F66" s="220"/>
      <c r="G66" s="8"/>
    </row>
    <row r="67" spans="1:7">
      <c r="D67" s="8" t="s">
        <v>9</v>
      </c>
      <c r="E67" s="61"/>
      <c r="F67" s="219"/>
      <c r="G67" s="8"/>
    </row>
    <row r="68" spans="1:7">
      <c r="D68" s="8" t="s">
        <v>195</v>
      </c>
      <c r="E68" s="61"/>
      <c r="F68" s="219"/>
      <c r="G68" s="124">
        <f>SUM(E74:F74)</f>
        <v>0</v>
      </c>
    </row>
    <row r="69" spans="1:7">
      <c r="D69" s="8" t="s">
        <v>188</v>
      </c>
      <c r="E69" s="243"/>
      <c r="F69" s="243"/>
      <c r="G69" s="8"/>
    </row>
    <row r="70" spans="1:7">
      <c r="D70" s="8"/>
      <c r="E70" s="243"/>
      <c r="F70" s="244"/>
    </row>
    <row r="71" spans="1:7">
      <c r="E71" s="245"/>
      <c r="F71" s="246"/>
    </row>
    <row r="72" spans="1:7">
      <c r="E72" s="276"/>
      <c r="F72" s="287"/>
    </row>
    <row r="73" spans="1:7">
      <c r="E73" s="276"/>
      <c r="F73" s="287"/>
    </row>
    <row r="74" spans="1:7">
      <c r="E74" s="127"/>
      <c r="F74" s="287"/>
    </row>
    <row r="75" spans="1:7">
      <c r="E75" s="79"/>
    </row>
    <row r="76" spans="1:7">
      <c r="A76" s="268"/>
      <c r="E76" s="79"/>
    </row>
    <row r="77" spans="1:7">
      <c r="E77" s="79"/>
    </row>
    <row r="78" spans="1:7">
      <c r="E78" s="79"/>
    </row>
    <row r="79" spans="1:7">
      <c r="B79" s="235"/>
      <c r="E79" s="79"/>
    </row>
    <row r="80" spans="1:7">
      <c r="E80" s="79"/>
    </row>
    <row r="81" spans="1:5">
      <c r="E81" s="277"/>
    </row>
    <row r="82" spans="1:5">
      <c r="A82" s="269"/>
      <c r="C82" s="155"/>
      <c r="E82" s="79"/>
    </row>
    <row r="83" spans="1:5">
      <c r="E83" s="277"/>
    </row>
    <row r="84" spans="1:5">
      <c r="A84" s="269"/>
      <c r="C84" s="155"/>
      <c r="E84" s="79"/>
    </row>
    <row r="85" spans="1:5">
      <c r="E85" s="277"/>
    </row>
    <row r="86" spans="1:5">
      <c r="A86" s="269"/>
      <c r="C86" s="155"/>
      <c r="E86" s="79"/>
    </row>
    <row r="87" spans="1:5">
      <c r="E87" s="277"/>
    </row>
    <row r="88" spans="1:5">
      <c r="A88" s="269"/>
      <c r="C88" s="155"/>
      <c r="E88" s="79"/>
    </row>
    <row r="89" spans="1:5">
      <c r="E89" s="277"/>
    </row>
    <row r="90" spans="1:5">
      <c r="A90" s="269"/>
      <c r="C90" s="155"/>
      <c r="E90" s="79"/>
    </row>
    <row r="91" spans="1:5">
      <c r="E91" s="277"/>
    </row>
    <row r="92" spans="1:5">
      <c r="A92" s="269"/>
      <c r="C92" s="155"/>
      <c r="E92" s="79"/>
    </row>
    <row r="93" spans="1:5">
      <c r="E93" s="277"/>
    </row>
    <row r="94" spans="1:5">
      <c r="A94" s="269"/>
      <c r="C94" s="155"/>
      <c r="E94" s="79"/>
    </row>
    <row r="95" spans="1:5">
      <c r="E95" s="277"/>
    </row>
    <row r="96" spans="1:5">
      <c r="A96" s="269"/>
      <c r="C96" s="155"/>
      <c r="E96" s="79"/>
    </row>
    <row r="97" spans="1:5">
      <c r="E97" s="277"/>
    </row>
    <row r="98" spans="1:5">
      <c r="A98" s="269"/>
      <c r="C98" s="155"/>
      <c r="E98" s="79"/>
    </row>
    <row r="99" spans="1:5">
      <c r="E99" s="277"/>
    </row>
    <row r="100" spans="1:5">
      <c r="A100" s="269"/>
      <c r="C100" s="155"/>
      <c r="E100" s="79"/>
    </row>
    <row r="101" spans="1:5">
      <c r="E101" s="277"/>
    </row>
    <row r="102" spans="1:5">
      <c r="A102" s="269"/>
      <c r="C102" s="155"/>
      <c r="E102" s="79"/>
    </row>
    <row r="103" spans="1:5">
      <c r="E103" s="277"/>
    </row>
    <row r="104" spans="1:5">
      <c r="A104" s="269"/>
      <c r="C104" s="155"/>
      <c r="E104" s="79"/>
    </row>
    <row r="105" spans="1:5">
      <c r="E105" s="277"/>
    </row>
    <row r="106" spans="1:5">
      <c r="A106" s="269"/>
      <c r="C106" s="155"/>
      <c r="E106" s="79"/>
    </row>
    <row r="107" spans="1:5">
      <c r="E107" s="277"/>
    </row>
    <row r="108" spans="1:5">
      <c r="A108" s="269"/>
      <c r="C108" s="155"/>
      <c r="E108" s="79"/>
    </row>
    <row r="109" spans="1:5">
      <c r="E109" s="277"/>
    </row>
    <row r="110" spans="1:5">
      <c r="A110" s="269"/>
      <c r="C110" s="155"/>
      <c r="E110" s="79"/>
    </row>
    <row r="111" spans="1:5">
      <c r="E111" s="277"/>
    </row>
    <row r="112" spans="1:5">
      <c r="A112" s="269"/>
      <c r="C112" s="155"/>
      <c r="E112" s="79"/>
    </row>
    <row r="113" spans="1:5">
      <c r="E113" s="277"/>
    </row>
    <row r="114" spans="1:5">
      <c r="A114" s="269"/>
      <c r="C114" s="155"/>
      <c r="E114" s="79"/>
    </row>
    <row r="115" spans="1:5">
      <c r="E115" s="277"/>
    </row>
    <row r="116" spans="1:5">
      <c r="A116" s="269"/>
      <c r="C116" s="155"/>
      <c r="E116" s="79"/>
    </row>
    <row r="117" spans="1:5">
      <c r="E117" s="277"/>
    </row>
    <row r="118" spans="1:5">
      <c r="A118" s="269"/>
      <c r="C118" s="155"/>
      <c r="E118" s="79"/>
    </row>
    <row r="119" spans="1:5">
      <c r="E119" s="277"/>
    </row>
    <row r="120" spans="1:5">
      <c r="A120" s="269"/>
      <c r="C120" s="155"/>
      <c r="E120" s="79"/>
    </row>
    <row r="121" spans="1:5">
      <c r="E121" s="277"/>
    </row>
    <row r="122" spans="1:5">
      <c r="A122" s="269"/>
      <c r="C122" s="155"/>
      <c r="E122" s="79"/>
    </row>
    <row r="123" spans="1:5">
      <c r="E123" s="277"/>
    </row>
    <row r="124" spans="1:5">
      <c r="A124" s="269"/>
      <c r="C124" s="155"/>
      <c r="E124" s="79"/>
    </row>
    <row r="125" spans="1:5">
      <c r="E125" s="277"/>
    </row>
    <row r="126" spans="1:5">
      <c r="A126" s="269"/>
      <c r="C126" s="155"/>
    </row>
    <row r="127" spans="1:5">
      <c r="E127" s="155"/>
    </row>
    <row r="128" spans="1:5">
      <c r="A128" s="269"/>
      <c r="C128" s="155"/>
    </row>
    <row r="129" spans="1:5">
      <c r="E129" s="155"/>
    </row>
    <row r="130" spans="1:5">
      <c r="A130" s="269"/>
      <c r="C130" s="155"/>
    </row>
    <row r="131" spans="1:5">
      <c r="E131" s="155"/>
    </row>
    <row r="132" spans="1:5">
      <c r="A132" s="269"/>
      <c r="C132" s="155"/>
    </row>
    <row r="133" spans="1:5">
      <c r="E133" s="155"/>
    </row>
    <row r="134" spans="1:5">
      <c r="A134" s="269"/>
      <c r="C134" s="155"/>
    </row>
    <row r="135" spans="1:5">
      <c r="E135" s="155"/>
    </row>
    <row r="136" spans="1:5">
      <c r="A136" s="269"/>
      <c r="C136" s="155"/>
    </row>
    <row r="137" spans="1:5">
      <c r="E137" s="155"/>
    </row>
    <row r="138" spans="1:5">
      <c r="A138" s="269"/>
      <c r="C138" s="155"/>
    </row>
    <row r="139" spans="1:5">
      <c r="E139" s="155"/>
    </row>
    <row r="140" spans="1:5">
      <c r="A140" s="269"/>
      <c r="C140" s="155"/>
    </row>
    <row r="141" spans="1:5">
      <c r="E141" s="155"/>
    </row>
    <row r="142" spans="1:5">
      <c r="A142" s="269"/>
      <c r="C142" s="155"/>
    </row>
    <row r="143" spans="1:5">
      <c r="E143" s="155"/>
    </row>
    <row r="144" spans="1:5">
      <c r="A144" s="269"/>
      <c r="C144" s="155"/>
    </row>
    <row r="145" spans="1:5">
      <c r="E145" s="155"/>
    </row>
    <row r="146" spans="1:5">
      <c r="A146" s="269"/>
      <c r="C146" s="155"/>
    </row>
    <row r="147" spans="1:5">
      <c r="E147" s="155"/>
    </row>
    <row r="148" spans="1:5">
      <c r="A148" s="269"/>
      <c r="C148" s="155"/>
    </row>
    <row r="149" spans="1:5">
      <c r="E149" s="155"/>
    </row>
    <row r="150" spans="1:5">
      <c r="A150" s="269"/>
      <c r="C150" s="155"/>
    </row>
    <row r="151" spans="1:5">
      <c r="E151" s="155"/>
    </row>
    <row r="152" spans="1:5">
      <c r="A152" s="269"/>
      <c r="C152" s="155"/>
    </row>
    <row r="153" spans="1:5">
      <c r="E153" s="155"/>
    </row>
    <row r="154" spans="1:5">
      <c r="A154" s="269"/>
      <c r="C154" s="155"/>
    </row>
    <row r="155" spans="1:5">
      <c r="E155" s="155"/>
    </row>
    <row r="156" spans="1:5">
      <c r="A156" s="269"/>
      <c r="C156" s="155"/>
    </row>
    <row r="157" spans="1:5">
      <c r="E157" s="155"/>
    </row>
    <row r="158" spans="1:5">
      <c r="A158" s="269"/>
      <c r="C158" s="155"/>
    </row>
    <row r="159" spans="1:5">
      <c r="E159" s="155"/>
    </row>
    <row r="160" spans="1:5">
      <c r="A160" s="269"/>
      <c r="C160" s="155"/>
    </row>
    <row r="161" spans="1:5">
      <c r="E161" s="155"/>
    </row>
    <row r="162" spans="1:5">
      <c r="A162" s="269"/>
      <c r="C162" s="155"/>
    </row>
    <row r="163" spans="1:5">
      <c r="E163" s="155"/>
    </row>
    <row r="164" spans="1:5">
      <c r="A164" s="269"/>
      <c r="C164" s="155"/>
    </row>
    <row r="165" spans="1:5">
      <c r="E165" s="155"/>
    </row>
    <row r="166" spans="1:5">
      <c r="A166" s="269"/>
      <c r="C166" s="155"/>
    </row>
    <row r="167" spans="1:5">
      <c r="E167" s="155"/>
    </row>
    <row r="168" spans="1:5">
      <c r="A168" s="269"/>
      <c r="C168" s="155"/>
    </row>
    <row r="169" spans="1:5">
      <c r="E169" s="155"/>
    </row>
    <row r="170" spans="1:5">
      <c r="A170" s="269"/>
      <c r="C170" s="155"/>
    </row>
    <row r="171" spans="1:5">
      <c r="E171" s="155"/>
    </row>
    <row r="172" spans="1:5">
      <c r="A172" s="269"/>
      <c r="C172" s="155"/>
    </row>
    <row r="173" spans="1:5">
      <c r="E173" s="155"/>
    </row>
    <row r="174" spans="1:5">
      <c r="A174" s="269"/>
      <c r="C174" s="155"/>
    </row>
    <row r="175" spans="1:5">
      <c r="E175" s="155"/>
    </row>
    <row r="176" spans="1:5">
      <c r="A176" s="269"/>
      <c r="C176" s="155"/>
    </row>
    <row r="177" spans="1:5">
      <c r="E177" s="155"/>
    </row>
    <row r="178" spans="1:5">
      <c r="A178" s="269"/>
      <c r="C178" s="155"/>
    </row>
    <row r="179" spans="1:5">
      <c r="E179" s="155"/>
    </row>
    <row r="180" spans="1:5">
      <c r="A180" s="269"/>
      <c r="C180" s="155"/>
    </row>
    <row r="181" spans="1:5">
      <c r="E181" s="155"/>
    </row>
    <row r="182" spans="1:5">
      <c r="A182" s="269"/>
      <c r="C182" s="155"/>
    </row>
    <row r="183" spans="1:5">
      <c r="E183" s="155"/>
    </row>
    <row r="184" spans="1:5">
      <c r="A184" s="269"/>
      <c r="C184" s="155"/>
    </row>
    <row r="185" spans="1:5">
      <c r="E185" s="155"/>
    </row>
    <row r="186" spans="1:5">
      <c r="A186" s="269"/>
      <c r="C186" s="155"/>
    </row>
    <row r="187" spans="1:5">
      <c r="E187" s="155"/>
    </row>
    <row r="188" spans="1:5">
      <c r="A188" s="269"/>
      <c r="C188" s="155"/>
    </row>
    <row r="189" spans="1:5">
      <c r="E189" s="155"/>
    </row>
    <row r="190" spans="1:5">
      <c r="A190" s="269"/>
      <c r="C190" s="155"/>
    </row>
    <row r="191" spans="1:5">
      <c r="E191" s="155"/>
    </row>
    <row r="192" spans="1:5">
      <c r="A192" s="269"/>
      <c r="C192" s="155"/>
    </row>
    <row r="193" spans="1:5">
      <c r="E193" s="155"/>
    </row>
    <row r="194" spans="1:5">
      <c r="A194" s="269"/>
      <c r="C194" s="155"/>
    </row>
    <row r="195" spans="1:5">
      <c r="E195" s="155"/>
    </row>
    <row r="196" spans="1:5">
      <c r="A196" s="269"/>
      <c r="C196" s="155"/>
    </row>
    <row r="197" spans="1:5">
      <c r="E197" s="155"/>
    </row>
    <row r="198" spans="1:5">
      <c r="A198" s="269"/>
      <c r="C198" s="155"/>
    </row>
    <row r="199" spans="1:5">
      <c r="E199" s="155"/>
    </row>
    <row r="200" spans="1:5">
      <c r="A200" s="269"/>
      <c r="C200" s="155"/>
    </row>
    <row r="201" spans="1:5">
      <c r="E201" s="155"/>
    </row>
    <row r="202" spans="1:5">
      <c r="A202" s="269"/>
      <c r="D202" s="155"/>
    </row>
    <row r="203" spans="1:5">
      <c r="E203" s="155"/>
    </row>
    <row r="204" spans="1:5">
      <c r="A204" s="269"/>
      <c r="C204" s="155"/>
    </row>
    <row r="205" spans="1:5">
      <c r="E205" s="155"/>
    </row>
    <row r="206" spans="1:5">
      <c r="A206" s="269"/>
      <c r="C206" s="155"/>
    </row>
    <row r="207" spans="1:5">
      <c r="E207" s="155"/>
    </row>
    <row r="208" spans="1:5">
      <c r="A208" s="269"/>
      <c r="C208" s="155"/>
    </row>
    <row r="209" spans="1:5">
      <c r="E209" s="155"/>
    </row>
    <row r="210" spans="1:5">
      <c r="A210" s="269"/>
      <c r="C210" s="155"/>
    </row>
    <row r="211" spans="1:5">
      <c r="E211" s="155"/>
    </row>
    <row r="212" spans="1:5">
      <c r="A212" s="269"/>
      <c r="C212" s="155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9DCDD-E8AE-416D-91F2-E8635A192D05}">
  <dimension ref="A6:R213"/>
  <sheetViews>
    <sheetView showGridLines="0" topLeftCell="A22" workbookViewId="0">
      <selection activeCell="A22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34" t="s">
        <v>3</v>
      </c>
      <c r="C14" s="335"/>
      <c r="D14" s="336"/>
      <c r="E14" s="17">
        <f>SUM(E15:E17)</f>
        <v>1183538.6300000001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37" t="s">
        <v>5</v>
      </c>
      <c r="C15" s="338"/>
      <c r="D15" s="339"/>
      <c r="E15" s="20">
        <f>J16+J17+J18+J19</f>
        <v>1121868.33</v>
      </c>
      <c r="F15" s="153">
        <f>E15+E16+E17</f>
        <v>1183538.6300000001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349" t="s">
        <v>7</v>
      </c>
      <c r="C16" s="350"/>
      <c r="D16" s="351"/>
      <c r="E16" s="20">
        <f>G22+G23</f>
        <v>25987.300000000003</v>
      </c>
      <c r="F16" s="153">
        <v>90000</v>
      </c>
      <c r="G16" s="22">
        <v>7198.32</v>
      </c>
      <c r="H16" s="23" t="s">
        <v>8</v>
      </c>
      <c r="I16" s="24"/>
      <c r="J16" s="25">
        <v>40723.32</v>
      </c>
      <c r="K16" s="26" t="s">
        <v>9</v>
      </c>
      <c r="L16" s="13"/>
      <c r="N16" s="3"/>
    </row>
    <row r="17" spans="2:18">
      <c r="B17" s="352" t="s">
        <v>6</v>
      </c>
      <c r="C17" s="353"/>
      <c r="D17" s="354"/>
      <c r="E17" s="28">
        <f>G16+G17+G18</f>
        <v>35683</v>
      </c>
      <c r="F17" s="153">
        <f>+F15-F16</f>
        <v>1093538.6300000001</v>
      </c>
      <c r="G17" s="22">
        <v>7145.05</v>
      </c>
      <c r="H17" s="29" t="s">
        <v>10</v>
      </c>
      <c r="I17" s="30"/>
      <c r="J17" s="25">
        <v>245881.24</v>
      </c>
      <c r="K17" s="31" t="s">
        <v>10</v>
      </c>
      <c r="L17">
        <v>200000</v>
      </c>
      <c r="N17" s="3"/>
    </row>
    <row r="18" spans="2:18">
      <c r="B18" s="236" t="s">
        <v>187</v>
      </c>
      <c r="C18" s="237"/>
      <c r="D18" s="238"/>
      <c r="E18" s="28">
        <f>+J22</f>
        <v>14541.8</v>
      </c>
      <c r="F18" s="153"/>
      <c r="G18" s="22">
        <v>21339.63</v>
      </c>
      <c r="H18" s="29" t="s">
        <v>12</v>
      </c>
      <c r="I18" s="30"/>
      <c r="J18" s="25">
        <v>554118.12</v>
      </c>
      <c r="K18" s="31" t="s">
        <v>12</v>
      </c>
      <c r="L18" s="152">
        <f>5136.4+28626.86+22249.69+21467.16</f>
        <v>77480.11</v>
      </c>
      <c r="N18" s="3"/>
    </row>
    <row r="19" spans="2:18">
      <c r="B19" s="379" t="s">
        <v>11</v>
      </c>
      <c r="C19" s="380"/>
      <c r="D19" s="381"/>
      <c r="E19" s="20">
        <f>G29+G31+G30+G28</f>
        <v>336675.62000000005</v>
      </c>
      <c r="F19" s="153"/>
      <c r="G19" s="33"/>
      <c r="H19" s="34"/>
      <c r="I19" s="30"/>
      <c r="J19" s="25">
        <v>281145.65000000002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f>15197589.01-E21</f>
        <v>15187381.01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SUM(E22:E24)</f>
        <v>10208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352</v>
      </c>
      <c r="E22" s="190">
        <v>10208</v>
      </c>
      <c r="F22" s="153"/>
      <c r="G22" s="44">
        <v>11218.04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187"/>
      <c r="C23" s="188"/>
      <c r="D23" s="198"/>
      <c r="E23" s="190"/>
      <c r="F23" s="153"/>
      <c r="G23" s="44">
        <v>14769.26</v>
      </c>
      <c r="H23" s="29" t="s">
        <v>18</v>
      </c>
      <c r="I23" s="30"/>
      <c r="J23" s="25"/>
      <c r="K23" s="31"/>
    </row>
    <row r="24" spans="2:18" ht="15" thickBot="1">
      <c r="B24" s="206"/>
      <c r="C24" s="205"/>
      <c r="D24" s="208"/>
      <c r="E24" s="190"/>
      <c r="F24" s="220"/>
      <c r="G24" s="51"/>
      <c r="H24" s="34"/>
      <c r="I24" s="30"/>
      <c r="J24" s="210"/>
      <c r="K24" s="53"/>
      <c r="N24" s="290"/>
    </row>
    <row r="25" spans="2:18" ht="15" thickBot="1">
      <c r="B25" s="46" t="s">
        <v>17</v>
      </c>
      <c r="C25" s="47"/>
      <c r="D25" s="48"/>
      <c r="E25" s="234">
        <v>72343.710000000006</v>
      </c>
      <c r="F25" s="153">
        <f>+F17-E25</f>
        <v>1021194.9200000002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202" t="s">
        <v>349</v>
      </c>
      <c r="C26" s="203"/>
      <c r="D26" s="204"/>
      <c r="E26" s="234">
        <v>0</v>
      </c>
      <c r="F26" s="288">
        <f>SUM(E25:E31)</f>
        <v>72343.710000000006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23</v>
      </c>
      <c r="C27" s="200"/>
      <c r="D27" s="201"/>
      <c r="E27" s="49">
        <v>0</v>
      </c>
      <c r="F27" s="153">
        <f>+F25-F26</f>
        <v>948851.2100000002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199" t="s">
        <v>81</v>
      </c>
      <c r="C28" s="200"/>
      <c r="D28" s="201"/>
      <c r="E28" s="49">
        <v>0</v>
      </c>
      <c r="F28" s="221"/>
      <c r="G28" s="22">
        <f>24004.74-11500-8500</f>
        <v>4004.7400000000016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24</v>
      </c>
      <c r="C29" s="200"/>
      <c r="D29" s="201"/>
      <c r="E29" s="49">
        <v>0</v>
      </c>
      <c r="F29" s="220"/>
      <c r="G29" s="22">
        <f>476452.4- 154326.09</f>
        <v>322126.31000000006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344" t="s">
        <v>25</v>
      </c>
      <c r="C30" s="345"/>
      <c r="D30" s="346"/>
      <c r="E30" s="49">
        <v>0</v>
      </c>
      <c r="F30" s="220"/>
      <c r="G30" s="67">
        <v>1750.87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63" t="s">
        <v>29</v>
      </c>
      <c r="C31" s="364"/>
      <c r="D31" s="365"/>
      <c r="E31" s="66">
        <v>0</v>
      </c>
      <c r="F31" s="220"/>
      <c r="G31" s="71">
        <f>401049.34-392255.64</f>
        <v>8793.7000000000116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61"/>
      <c r="F32" s="219"/>
      <c r="N32" s="269"/>
      <c r="P32" s="155"/>
      <c r="R32" s="155"/>
    </row>
    <row r="33" spans="5:18">
      <c r="E33" s="61"/>
      <c r="F33" s="219"/>
    </row>
    <row r="34" spans="5:18">
      <c r="E34" s="61"/>
      <c r="F34" s="219"/>
      <c r="H34" s="61"/>
      <c r="I34" s="61"/>
      <c r="J34" s="13"/>
      <c r="K34" s="61"/>
      <c r="L34" s="61"/>
      <c r="M34" s="61"/>
      <c r="N34" s="269"/>
      <c r="P34" s="155"/>
      <c r="R34" s="155"/>
    </row>
    <row r="35" spans="5:18">
      <c r="E35" s="61"/>
      <c r="F35" s="219"/>
      <c r="H35" s="61"/>
      <c r="I35" s="61"/>
      <c r="J35" s="13"/>
      <c r="K35" s="61"/>
      <c r="L35" s="61"/>
      <c r="M35" s="61"/>
    </row>
    <row r="36" spans="5:18" s="61" customFormat="1" ht="15" customHeight="1">
      <c r="E36" s="161" t="s">
        <v>353</v>
      </c>
      <c r="F36" s="197"/>
      <c r="G36" s="8"/>
      <c r="H36" s="13"/>
      <c r="J36" s="13"/>
      <c r="K36" s="83"/>
      <c r="L36" s="88"/>
      <c r="N36" s="272"/>
      <c r="P36" s="273"/>
      <c r="R36" s="273"/>
    </row>
    <row r="37" spans="5:18" s="61" customFormat="1" ht="15" customHeight="1">
      <c r="E37" s="161"/>
      <c r="F37" s="197"/>
      <c r="G37" s="181"/>
      <c r="H37" s="161"/>
      <c r="I37" s="197"/>
      <c r="J37" s="13"/>
      <c r="K37" s="83"/>
      <c r="L37" s="161"/>
      <c r="M37" s="197"/>
    </row>
    <row r="38" spans="5:18" s="61" customFormat="1" ht="15" customHeight="1">
      <c r="E38" s="61" t="s">
        <v>34</v>
      </c>
      <c r="F38" s="197">
        <f>F17</f>
        <v>1093538.6300000001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5:18" s="61" customFormat="1" ht="15" customHeight="1">
      <c r="E39" s="61" t="s">
        <v>35</v>
      </c>
      <c r="F39" s="197">
        <f>+E19</f>
        <v>336675.62000000005</v>
      </c>
      <c r="G39" s="86"/>
      <c r="I39" s="197"/>
      <c r="J39" s="13"/>
      <c r="K39" s="85"/>
      <c r="M39" s="197"/>
    </row>
    <row r="40" spans="5:18" s="61" customFormat="1" ht="15" customHeight="1">
      <c r="E40" s="61" t="s">
        <v>36</v>
      </c>
      <c r="F40" s="197">
        <v>0</v>
      </c>
      <c r="G40" s="86"/>
      <c r="I40" s="214"/>
      <c r="J40" s="13"/>
      <c r="K40" s="87"/>
      <c r="M40" s="197"/>
      <c r="N40" s="272"/>
      <c r="P40" s="273"/>
      <c r="R40" s="273"/>
    </row>
    <row r="41" spans="5:18" s="61" customFormat="1" ht="15" customHeight="1">
      <c r="E41" s="61" t="s">
        <v>37</v>
      </c>
      <c r="F41" s="197">
        <v>0</v>
      </c>
      <c r="G41" s="9"/>
      <c r="I41" s="197"/>
      <c r="J41" s="13"/>
      <c r="M41" s="197"/>
    </row>
    <row r="42" spans="5:18" s="61" customFormat="1" ht="15" customHeight="1">
      <c r="E42" s="163" t="s">
        <v>38</v>
      </c>
      <c r="F42" s="229">
        <f>SUM(F38:F41)</f>
        <v>1430214.2500000002</v>
      </c>
      <c r="G42" s="9"/>
      <c r="I42" s="197"/>
      <c r="J42" s="13"/>
      <c r="M42" s="197"/>
      <c r="N42" s="272"/>
      <c r="P42" s="273"/>
      <c r="R42" s="273"/>
    </row>
    <row r="43" spans="5:18" s="61" customFormat="1" ht="15" customHeight="1">
      <c r="E43" s="165"/>
      <c r="F43" s="230"/>
      <c r="G43" s="9"/>
      <c r="H43" s="163"/>
      <c r="I43" s="229"/>
      <c r="J43" s="13"/>
      <c r="L43" s="163"/>
      <c r="M43" s="229"/>
    </row>
    <row r="44" spans="5:18" s="61" customFormat="1" ht="15" customHeight="1">
      <c r="E44" s="165" t="s">
        <v>152</v>
      </c>
      <c r="F44" s="230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5:18" s="61" customFormat="1" ht="15" customHeight="1">
      <c r="E45" s="165" t="s">
        <v>180</v>
      </c>
      <c r="F45" s="230">
        <v>25000</v>
      </c>
      <c r="G45" s="9"/>
      <c r="H45" s="165"/>
      <c r="I45" s="230"/>
      <c r="J45" s="13"/>
    </row>
    <row r="46" spans="5:18" s="61" customFormat="1" ht="15" customHeight="1">
      <c r="E46" s="165" t="s">
        <v>52</v>
      </c>
      <c r="F46" s="230">
        <v>32000</v>
      </c>
      <c r="G46" s="9"/>
      <c r="H46" s="165"/>
      <c r="I46" s="230"/>
      <c r="J46" s="13"/>
    </row>
    <row r="47" spans="5:18" s="61" customFormat="1" ht="15" customHeight="1">
      <c r="E47" s="165" t="s">
        <v>64</v>
      </c>
      <c r="F47" s="230">
        <v>145000</v>
      </c>
      <c r="G47" s="9"/>
      <c r="H47" s="165"/>
      <c r="I47" s="230"/>
      <c r="J47" s="13"/>
    </row>
    <row r="48" spans="5:18" s="61" customFormat="1" ht="15" customHeight="1">
      <c r="E48" s="165" t="s">
        <v>116</v>
      </c>
      <c r="F48" s="230">
        <v>36000</v>
      </c>
      <c r="G48" s="9"/>
      <c r="H48" s="165"/>
      <c r="I48" s="230"/>
      <c r="J48" s="13"/>
    </row>
    <row r="49" spans="5:13" s="61" customFormat="1" ht="15" customHeight="1">
      <c r="E49" s="91" t="s">
        <v>24</v>
      </c>
      <c r="F49" s="219">
        <v>80000</v>
      </c>
      <c r="G49" s="9"/>
      <c r="H49" s="165"/>
      <c r="I49" s="230"/>
      <c r="J49" s="13"/>
    </row>
    <row r="50" spans="5:13" s="61" customFormat="1">
      <c r="E50" s="91" t="s">
        <v>22</v>
      </c>
      <c r="F50" s="219">
        <v>50000</v>
      </c>
      <c r="G50" s="8"/>
      <c r="H50" s="91"/>
      <c r="I50" s="231"/>
      <c r="J50" s="13"/>
    </row>
    <row r="51" spans="5:13" s="61" customFormat="1">
      <c r="E51" s="91" t="s">
        <v>346</v>
      </c>
      <c r="F51" s="219">
        <v>50000</v>
      </c>
      <c r="G51" s="8"/>
      <c r="H51" s="96"/>
      <c r="I51" s="231"/>
      <c r="J51" s="262"/>
    </row>
    <row r="52" spans="5:13" s="61" customFormat="1">
      <c r="E52" s="91" t="s">
        <v>347</v>
      </c>
      <c r="F52" s="219">
        <v>0</v>
      </c>
      <c r="G52" s="8"/>
      <c r="H52" s="96"/>
      <c r="I52" s="231"/>
      <c r="J52" s="262"/>
    </row>
    <row r="53" spans="5:13" s="61" customFormat="1">
      <c r="E53" s="91" t="s">
        <v>53</v>
      </c>
      <c r="F53" s="219">
        <v>0</v>
      </c>
      <c r="G53" s="8"/>
      <c r="H53" s="96"/>
      <c r="I53" s="231"/>
      <c r="J53" s="262"/>
    </row>
    <row r="54" spans="5:13" s="61" customFormat="1">
      <c r="E54" s="91" t="s">
        <v>40</v>
      </c>
      <c r="F54" s="232">
        <f>180000-70000</f>
        <v>110000</v>
      </c>
      <c r="G54" s="8"/>
      <c r="H54" s="96"/>
      <c r="I54" s="231"/>
      <c r="J54" s="262"/>
    </row>
    <row r="55" spans="5:13" s="61" customFormat="1">
      <c r="E55" s="96" t="s">
        <v>41</v>
      </c>
      <c r="F55" s="231">
        <f>SUM(F44:F54)</f>
        <v>653000</v>
      </c>
      <c r="G55" s="82"/>
      <c r="H55" s="83"/>
      <c r="I55" s="228"/>
      <c r="J55" s="13"/>
    </row>
    <row r="56" spans="5:13" s="61" customFormat="1">
      <c r="E56" s="96" t="s">
        <v>42</v>
      </c>
      <c r="F56" s="231">
        <f>F42-F55</f>
        <v>777214.25000000023</v>
      </c>
      <c r="G56" s="82"/>
      <c r="H56" s="83"/>
      <c r="I56" s="233"/>
      <c r="J56" s="13"/>
      <c r="L56" s="91"/>
      <c r="M56" s="232"/>
    </row>
    <row r="57" spans="5:13" s="61" customFormat="1">
      <c r="F57" s="39"/>
      <c r="G57" s="82"/>
      <c r="H57" s="83"/>
      <c r="I57" s="233"/>
      <c r="J57" s="13"/>
      <c r="L57" s="91"/>
      <c r="M57" s="232"/>
    </row>
    <row r="58" spans="5:13" s="61" customFormat="1">
      <c r="E58" s="83" t="s">
        <v>43</v>
      </c>
      <c r="F58" s="151">
        <f>43800+180000</f>
        <v>223800</v>
      </c>
      <c r="G58" s="82"/>
      <c r="H58" s="83"/>
      <c r="I58" s="233"/>
      <c r="J58" s="13"/>
      <c r="L58" s="96"/>
      <c r="M58" s="231"/>
    </row>
    <row r="59" spans="5:13" s="61" customFormat="1">
      <c r="E59" s="83" t="s">
        <v>44</v>
      </c>
      <c r="F59" s="151">
        <v>365000</v>
      </c>
      <c r="G59" s="82"/>
      <c r="H59" s="96"/>
      <c r="I59" s="228"/>
      <c r="J59" s="13"/>
      <c r="L59" s="96"/>
      <c r="M59" s="233"/>
    </row>
    <row r="60" spans="5:13" s="61" customFormat="1">
      <c r="E60" s="83" t="s">
        <v>45</v>
      </c>
      <c r="F60" s="95">
        <v>0</v>
      </c>
      <c r="G60" s="82"/>
      <c r="H60" s="83"/>
      <c r="I60" s="233"/>
      <c r="J60" s="13"/>
    </row>
    <row r="61" spans="5:13" s="61" customFormat="1">
      <c r="E61" s="83" t="s">
        <v>205</v>
      </c>
      <c r="F61" s="95">
        <v>0</v>
      </c>
      <c r="G61"/>
      <c r="H61" s="96"/>
      <c r="I61" s="219"/>
      <c r="J61" s="13"/>
      <c r="L61" s="83"/>
      <c r="M61" s="228"/>
    </row>
    <row r="62" spans="5:13">
      <c r="E62" s="83" t="s">
        <v>206</v>
      </c>
      <c r="F62" s="95">
        <v>0</v>
      </c>
      <c r="H62" s="61"/>
      <c r="I62" s="61"/>
      <c r="J62" s="13"/>
      <c r="K62" s="61"/>
      <c r="L62" s="61"/>
      <c r="M62" s="61"/>
    </row>
    <row r="63" spans="5:13">
      <c r="E63" s="96" t="s">
        <v>46</v>
      </c>
      <c r="F63" s="99">
        <f>SUM(F58:F62)</f>
        <v>588800</v>
      </c>
      <c r="H63" s="61"/>
      <c r="I63" s="61"/>
      <c r="J63" s="13"/>
      <c r="K63" s="61"/>
      <c r="L63" s="61"/>
      <c r="M63" s="61"/>
    </row>
    <row r="64" spans="5:13">
      <c r="E64" s="83"/>
      <c r="F64" s="151"/>
    </row>
    <row r="65" spans="1:7">
      <c r="E65" s="96" t="s">
        <v>47</v>
      </c>
      <c r="F65" s="99">
        <f>F56-F63</f>
        <v>188414.25000000023</v>
      </c>
      <c r="G65" s="8"/>
    </row>
    <row r="66" spans="1:7">
      <c r="D66" s="247" t="s">
        <v>192</v>
      </c>
      <c r="E66" s="61"/>
      <c r="F66" s="219"/>
      <c r="G66" s="8"/>
    </row>
    <row r="67" spans="1:7">
      <c r="D67" s="247" t="s">
        <v>194</v>
      </c>
      <c r="E67" s="61"/>
      <c r="F67" s="219"/>
      <c r="G67" s="8"/>
    </row>
    <row r="68" spans="1:7">
      <c r="D68" s="8" t="s">
        <v>9</v>
      </c>
      <c r="E68" s="61"/>
      <c r="F68" s="219"/>
      <c r="G68" s="8"/>
    </row>
    <row r="69" spans="1:7">
      <c r="D69" s="8" t="s">
        <v>195</v>
      </c>
      <c r="E69" s="61"/>
      <c r="F69" s="219"/>
      <c r="G69" s="124">
        <f>SUM(E75:F75)</f>
        <v>0</v>
      </c>
    </row>
    <row r="70" spans="1:7">
      <c r="D70" s="8" t="s">
        <v>188</v>
      </c>
      <c r="E70" s="243"/>
      <c r="F70" s="243"/>
      <c r="G70" s="8"/>
    </row>
    <row r="71" spans="1:7">
      <c r="D71" s="8"/>
      <c r="E71" s="243"/>
      <c r="F71" s="244"/>
    </row>
    <row r="72" spans="1:7">
      <c r="E72" s="245"/>
      <c r="F72" s="246"/>
    </row>
    <row r="73" spans="1:7">
      <c r="E73" s="276"/>
      <c r="F73" s="287"/>
    </row>
    <row r="74" spans="1:7">
      <c r="E74" s="276"/>
      <c r="F74" s="287"/>
    </row>
    <row r="75" spans="1:7">
      <c r="E75" s="127"/>
      <c r="F75" s="287"/>
    </row>
    <row r="76" spans="1:7">
      <c r="E76" s="79"/>
    </row>
    <row r="77" spans="1:7">
      <c r="A77" s="268"/>
      <c r="E77" s="79"/>
    </row>
    <row r="78" spans="1:7">
      <c r="E78" s="79"/>
    </row>
    <row r="79" spans="1:7">
      <c r="E79" s="79"/>
    </row>
    <row r="80" spans="1:7">
      <c r="B80" s="235"/>
      <c r="E80" s="79"/>
    </row>
    <row r="81" spans="1:5">
      <c r="E81" s="79"/>
    </row>
    <row r="82" spans="1:5">
      <c r="E82" s="277"/>
    </row>
    <row r="83" spans="1:5">
      <c r="A83" s="269"/>
      <c r="C83" s="155"/>
      <c r="E83" s="79"/>
    </row>
    <row r="84" spans="1:5">
      <c r="E84" s="277"/>
    </row>
    <row r="85" spans="1:5">
      <c r="A85" s="269"/>
      <c r="C85" s="155"/>
      <c r="E85" s="79"/>
    </row>
    <row r="86" spans="1:5">
      <c r="E86" s="277"/>
    </row>
    <row r="87" spans="1:5">
      <c r="A87" s="269"/>
      <c r="C87" s="155"/>
      <c r="E87" s="79"/>
    </row>
    <row r="88" spans="1:5">
      <c r="E88" s="277"/>
    </row>
    <row r="89" spans="1:5">
      <c r="A89" s="269"/>
      <c r="C89" s="155"/>
      <c r="E89" s="79"/>
    </row>
    <row r="90" spans="1:5">
      <c r="E90" s="277"/>
    </row>
    <row r="91" spans="1:5">
      <c r="A91" s="269"/>
      <c r="C91" s="155"/>
      <c r="E91" s="79"/>
    </row>
    <row r="92" spans="1:5">
      <c r="E92" s="277"/>
    </row>
    <row r="93" spans="1:5">
      <c r="A93" s="269"/>
      <c r="C93" s="155"/>
      <c r="E93" s="79"/>
    </row>
    <row r="94" spans="1:5">
      <c r="E94" s="277"/>
    </row>
    <row r="95" spans="1:5">
      <c r="A95" s="269"/>
      <c r="C95" s="155"/>
      <c r="E95" s="79"/>
    </row>
    <row r="96" spans="1:5">
      <c r="E96" s="277"/>
    </row>
    <row r="97" spans="1:5">
      <c r="A97" s="269"/>
      <c r="C97" s="155"/>
      <c r="E97" s="79"/>
    </row>
    <row r="98" spans="1:5">
      <c r="E98" s="277"/>
    </row>
    <row r="99" spans="1:5">
      <c r="A99" s="269"/>
      <c r="C99" s="155"/>
      <c r="E99" s="79"/>
    </row>
    <row r="100" spans="1:5">
      <c r="E100" s="277"/>
    </row>
    <row r="101" spans="1:5">
      <c r="A101" s="269"/>
      <c r="C101" s="155"/>
      <c r="E101" s="79"/>
    </row>
    <row r="102" spans="1:5">
      <c r="E102" s="277"/>
    </row>
    <row r="103" spans="1:5">
      <c r="A103" s="269"/>
      <c r="C103" s="155"/>
      <c r="E103" s="79"/>
    </row>
    <row r="104" spans="1:5">
      <c r="E104" s="277"/>
    </row>
    <row r="105" spans="1:5">
      <c r="A105" s="269"/>
      <c r="C105" s="155"/>
      <c r="E105" s="79"/>
    </row>
    <row r="106" spans="1:5">
      <c r="E106" s="277"/>
    </row>
    <row r="107" spans="1:5">
      <c r="A107" s="269"/>
      <c r="C107" s="155"/>
      <c r="E107" s="79"/>
    </row>
    <row r="108" spans="1:5">
      <c r="E108" s="277"/>
    </row>
    <row r="109" spans="1:5">
      <c r="A109" s="269"/>
      <c r="C109" s="155"/>
      <c r="E109" s="79"/>
    </row>
    <row r="110" spans="1:5">
      <c r="E110" s="277"/>
    </row>
    <row r="111" spans="1:5">
      <c r="A111" s="269"/>
      <c r="C111" s="155"/>
      <c r="E111" s="79"/>
    </row>
    <row r="112" spans="1:5">
      <c r="E112" s="277"/>
    </row>
    <row r="113" spans="1:5">
      <c r="A113" s="269"/>
      <c r="C113" s="155"/>
      <c r="E113" s="79"/>
    </row>
    <row r="114" spans="1:5">
      <c r="E114" s="277"/>
    </row>
    <row r="115" spans="1:5">
      <c r="A115" s="269"/>
      <c r="C115" s="155"/>
      <c r="E115" s="79"/>
    </row>
    <row r="116" spans="1:5">
      <c r="E116" s="277"/>
    </row>
    <row r="117" spans="1:5">
      <c r="A117" s="269"/>
      <c r="C117" s="155"/>
      <c r="E117" s="79"/>
    </row>
    <row r="118" spans="1:5">
      <c r="E118" s="277"/>
    </row>
    <row r="119" spans="1:5">
      <c r="A119" s="269"/>
      <c r="C119" s="155"/>
      <c r="E119" s="79"/>
    </row>
    <row r="120" spans="1:5">
      <c r="E120" s="277"/>
    </row>
    <row r="121" spans="1:5">
      <c r="A121" s="269"/>
      <c r="C121" s="155"/>
      <c r="E121" s="79"/>
    </row>
    <row r="122" spans="1:5">
      <c r="E122" s="277"/>
    </row>
    <row r="123" spans="1:5">
      <c r="A123" s="269"/>
      <c r="C123" s="155"/>
      <c r="E123" s="79"/>
    </row>
    <row r="124" spans="1:5">
      <c r="E124" s="277"/>
    </row>
    <row r="125" spans="1:5">
      <c r="A125" s="269"/>
      <c r="C125" s="155"/>
      <c r="E125" s="79"/>
    </row>
    <row r="126" spans="1:5">
      <c r="E126" s="277"/>
    </row>
    <row r="127" spans="1:5">
      <c r="A127" s="269"/>
      <c r="C127" s="155"/>
    </row>
    <row r="128" spans="1:5">
      <c r="E128" s="155"/>
    </row>
    <row r="129" spans="1:5">
      <c r="A129" s="269"/>
      <c r="C129" s="155"/>
    </row>
    <row r="130" spans="1:5">
      <c r="E130" s="155"/>
    </row>
    <row r="131" spans="1:5">
      <c r="A131" s="269"/>
      <c r="C131" s="155"/>
    </row>
    <row r="132" spans="1:5">
      <c r="E132" s="155"/>
    </row>
    <row r="133" spans="1:5">
      <c r="A133" s="269"/>
      <c r="C133" s="155"/>
    </row>
    <row r="134" spans="1:5">
      <c r="E134" s="155"/>
    </row>
    <row r="135" spans="1:5">
      <c r="A135" s="269"/>
      <c r="C135" s="155"/>
    </row>
    <row r="136" spans="1:5">
      <c r="E136" s="155"/>
    </row>
    <row r="137" spans="1:5">
      <c r="A137" s="269"/>
      <c r="C137" s="155"/>
    </row>
    <row r="138" spans="1:5">
      <c r="E138" s="155"/>
    </row>
    <row r="139" spans="1:5">
      <c r="A139" s="269"/>
      <c r="C139" s="155"/>
    </row>
    <row r="140" spans="1:5">
      <c r="E140" s="155"/>
    </row>
    <row r="141" spans="1:5">
      <c r="A141" s="269"/>
      <c r="C141" s="155"/>
    </row>
    <row r="142" spans="1:5">
      <c r="E142" s="155"/>
    </row>
    <row r="143" spans="1:5">
      <c r="A143" s="269"/>
      <c r="C143" s="155"/>
    </row>
    <row r="144" spans="1:5">
      <c r="E144" s="155"/>
    </row>
    <row r="145" spans="1:5">
      <c r="A145" s="269"/>
      <c r="C145" s="155"/>
    </row>
    <row r="146" spans="1:5">
      <c r="E146" s="155"/>
    </row>
    <row r="147" spans="1:5">
      <c r="A147" s="269"/>
      <c r="C147" s="155"/>
    </row>
    <row r="148" spans="1:5">
      <c r="E148" s="155"/>
    </row>
    <row r="149" spans="1:5">
      <c r="A149" s="269"/>
      <c r="C149" s="155"/>
    </row>
    <row r="150" spans="1:5">
      <c r="E150" s="155"/>
    </row>
    <row r="151" spans="1:5">
      <c r="A151" s="269"/>
      <c r="C151" s="155"/>
    </row>
    <row r="152" spans="1:5">
      <c r="E152" s="155"/>
    </row>
    <row r="153" spans="1:5">
      <c r="A153" s="269"/>
      <c r="C153" s="155"/>
    </row>
    <row r="154" spans="1:5">
      <c r="E154" s="155"/>
    </row>
    <row r="155" spans="1:5">
      <c r="A155" s="269"/>
      <c r="C155" s="155"/>
    </row>
    <row r="156" spans="1:5">
      <c r="E156" s="155"/>
    </row>
    <row r="157" spans="1:5">
      <c r="A157" s="269"/>
      <c r="C157" s="155"/>
    </row>
    <row r="158" spans="1:5">
      <c r="E158" s="155"/>
    </row>
    <row r="159" spans="1:5">
      <c r="A159" s="269"/>
      <c r="C159" s="155"/>
    </row>
    <row r="160" spans="1:5">
      <c r="E160" s="155"/>
    </row>
    <row r="161" spans="1:5">
      <c r="A161" s="269"/>
      <c r="C161" s="155"/>
    </row>
    <row r="162" spans="1:5">
      <c r="E162" s="155"/>
    </row>
    <row r="163" spans="1:5">
      <c r="A163" s="269"/>
      <c r="C163" s="155"/>
    </row>
    <row r="164" spans="1:5">
      <c r="E164" s="155"/>
    </row>
    <row r="165" spans="1:5">
      <c r="A165" s="269"/>
      <c r="C165" s="155"/>
    </row>
    <row r="166" spans="1:5">
      <c r="E166" s="155"/>
    </row>
    <row r="167" spans="1:5">
      <c r="A167" s="269"/>
      <c r="C167" s="155"/>
    </row>
    <row r="168" spans="1:5">
      <c r="E168" s="155"/>
    </row>
    <row r="169" spans="1:5">
      <c r="A169" s="269"/>
      <c r="C169" s="155"/>
    </row>
    <row r="170" spans="1:5">
      <c r="E170" s="155"/>
    </row>
    <row r="171" spans="1:5">
      <c r="A171" s="269"/>
      <c r="C171" s="155"/>
    </row>
    <row r="172" spans="1:5">
      <c r="E172" s="155"/>
    </row>
    <row r="173" spans="1:5">
      <c r="A173" s="269"/>
      <c r="C173" s="155"/>
    </row>
    <row r="174" spans="1:5">
      <c r="E174" s="155"/>
    </row>
    <row r="175" spans="1:5">
      <c r="A175" s="269"/>
      <c r="C175" s="155"/>
    </row>
    <row r="176" spans="1:5">
      <c r="E176" s="155"/>
    </row>
    <row r="177" spans="1:5">
      <c r="A177" s="269"/>
      <c r="C177" s="155"/>
    </row>
    <row r="178" spans="1:5">
      <c r="E178" s="155"/>
    </row>
    <row r="179" spans="1:5">
      <c r="A179" s="269"/>
      <c r="C179" s="155"/>
    </row>
    <row r="180" spans="1:5">
      <c r="E180" s="155"/>
    </row>
    <row r="181" spans="1:5">
      <c r="A181" s="269"/>
      <c r="C181" s="155"/>
    </row>
    <row r="182" spans="1:5">
      <c r="E182" s="155"/>
    </row>
    <row r="183" spans="1:5">
      <c r="A183" s="269"/>
      <c r="C183" s="155"/>
    </row>
    <row r="184" spans="1:5">
      <c r="E184" s="155"/>
    </row>
    <row r="185" spans="1:5">
      <c r="A185" s="269"/>
      <c r="C185" s="155"/>
    </row>
    <row r="186" spans="1:5">
      <c r="E186" s="155"/>
    </row>
    <row r="187" spans="1:5">
      <c r="A187" s="269"/>
      <c r="C187" s="155"/>
    </row>
    <row r="188" spans="1:5">
      <c r="E188" s="155"/>
    </row>
    <row r="189" spans="1:5">
      <c r="A189" s="269"/>
      <c r="C189" s="155"/>
    </row>
    <row r="190" spans="1:5">
      <c r="E190" s="155"/>
    </row>
    <row r="191" spans="1:5">
      <c r="A191" s="269"/>
      <c r="C191" s="155"/>
    </row>
    <row r="192" spans="1:5">
      <c r="E192" s="155"/>
    </row>
    <row r="193" spans="1:5">
      <c r="A193" s="269"/>
      <c r="C193" s="155"/>
    </row>
    <row r="194" spans="1:5">
      <c r="E194" s="155"/>
    </row>
    <row r="195" spans="1:5">
      <c r="A195" s="269"/>
      <c r="C195" s="155"/>
    </row>
    <row r="196" spans="1:5">
      <c r="E196" s="155"/>
    </row>
    <row r="197" spans="1:5">
      <c r="A197" s="269"/>
      <c r="C197" s="155"/>
    </row>
    <row r="198" spans="1:5">
      <c r="E198" s="155"/>
    </row>
    <row r="199" spans="1:5">
      <c r="A199" s="269"/>
      <c r="C199" s="155"/>
    </row>
    <row r="200" spans="1:5">
      <c r="E200" s="155"/>
    </row>
    <row r="201" spans="1:5">
      <c r="A201" s="269"/>
      <c r="C201" s="155"/>
    </row>
    <row r="202" spans="1:5">
      <c r="E202" s="155"/>
    </row>
    <row r="203" spans="1:5">
      <c r="A203" s="269"/>
      <c r="D203" s="155"/>
    </row>
    <row r="204" spans="1:5">
      <c r="E204" s="155"/>
    </row>
    <row r="205" spans="1:5">
      <c r="A205" s="269"/>
      <c r="C205" s="155"/>
    </row>
    <row r="206" spans="1:5">
      <c r="E206" s="155"/>
    </row>
    <row r="207" spans="1:5">
      <c r="A207" s="269"/>
      <c r="C207" s="155"/>
    </row>
    <row r="208" spans="1:5">
      <c r="E208" s="155"/>
    </row>
    <row r="209" spans="1:5">
      <c r="A209" s="269"/>
      <c r="C209" s="155"/>
    </row>
    <row r="210" spans="1:5">
      <c r="E210" s="155"/>
    </row>
    <row r="211" spans="1:5">
      <c r="A211" s="269"/>
      <c r="C211" s="155"/>
    </row>
    <row r="212" spans="1:5">
      <c r="E212" s="155"/>
    </row>
    <row r="213" spans="1:5">
      <c r="A213" s="269"/>
      <c r="C213" s="155"/>
    </row>
  </sheetData>
  <mergeCells count="16"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3190F-DCDC-4248-BAB9-DF04B2EE35C3}">
  <dimension ref="A6:R213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34" t="s">
        <v>3</v>
      </c>
      <c r="C14" s="335"/>
      <c r="D14" s="336"/>
      <c r="E14" s="17">
        <f>SUM(E15:E17)</f>
        <v>568708.22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37" t="s">
        <v>5</v>
      </c>
      <c r="C15" s="338"/>
      <c r="D15" s="339"/>
      <c r="E15" s="20">
        <f>J16+J17+J18+J19</f>
        <v>359358.52</v>
      </c>
      <c r="F15" s="153">
        <f>E15+E16+E17</f>
        <v>568708.22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349" t="s">
        <v>7</v>
      </c>
      <c r="C16" s="350"/>
      <c r="D16" s="351"/>
      <c r="E16" s="20">
        <f>G22+G23</f>
        <v>35325.300000000003</v>
      </c>
      <c r="F16" s="153">
        <v>90000</v>
      </c>
      <c r="G16" s="22">
        <v>7198.32</v>
      </c>
      <c r="H16" s="23" t="s">
        <v>8</v>
      </c>
      <c r="I16" s="24"/>
      <c r="J16" s="25">
        <v>40723.32</v>
      </c>
      <c r="K16" s="26" t="s">
        <v>9</v>
      </c>
      <c r="L16" s="13"/>
      <c r="N16" s="3"/>
    </row>
    <row r="17" spans="2:18">
      <c r="B17" s="352" t="s">
        <v>6</v>
      </c>
      <c r="C17" s="353"/>
      <c r="D17" s="354"/>
      <c r="E17" s="28">
        <f>G16+G17+G18</f>
        <v>174024.4</v>
      </c>
      <c r="F17" s="153">
        <f>+F15-F16</f>
        <v>478708.22</v>
      </c>
      <c r="G17" s="22">
        <v>122966.56</v>
      </c>
      <c r="H17" s="29" t="s">
        <v>10</v>
      </c>
      <c r="I17" s="30"/>
      <c r="J17" s="25">
        <v>45881.24</v>
      </c>
      <c r="K17" s="31" t="s">
        <v>10</v>
      </c>
      <c r="N17" s="3"/>
    </row>
    <row r="18" spans="2:18">
      <c r="B18" s="236" t="s">
        <v>187</v>
      </c>
      <c r="C18" s="237"/>
      <c r="D18" s="238"/>
      <c r="E18" s="28">
        <f>+J22</f>
        <v>14541.8</v>
      </c>
      <c r="F18" s="153"/>
      <c r="G18" s="22">
        <v>43859.519999999997</v>
      </c>
      <c r="H18" s="29" t="s">
        <v>12</v>
      </c>
      <c r="I18" s="30"/>
      <c r="J18" s="25">
        <v>18679.62</v>
      </c>
      <c r="K18" s="31" t="s">
        <v>12</v>
      </c>
      <c r="L18" s="152"/>
      <c r="N18" s="3"/>
    </row>
    <row r="19" spans="2:18">
      <c r="B19" s="379" t="s">
        <v>11</v>
      </c>
      <c r="C19" s="380"/>
      <c r="D19" s="381"/>
      <c r="E19" s="20">
        <f>G29+G31+G30+G28</f>
        <v>336870.68</v>
      </c>
      <c r="F19" s="153"/>
      <c r="G19" s="33"/>
      <c r="H19" s="34"/>
      <c r="I19" s="30"/>
      <c r="J19" s="25">
        <v>254074.34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15069370.02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SUM(E22:E24)</f>
        <v>128218.99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70</v>
      </c>
      <c r="E22" s="190">
        <v>105290.3</v>
      </c>
      <c r="F22" s="153"/>
      <c r="G22" s="44">
        <v>11218.04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187"/>
      <c r="C23" s="188"/>
      <c r="D23" s="198" t="s">
        <v>70</v>
      </c>
      <c r="E23" s="190">
        <v>22928.69</v>
      </c>
      <c r="F23" s="153"/>
      <c r="G23" s="44">
        <v>24107.26</v>
      </c>
      <c r="H23" s="29" t="s">
        <v>18</v>
      </c>
      <c r="I23" s="30"/>
      <c r="J23" s="25"/>
      <c r="K23" s="31"/>
    </row>
    <row r="24" spans="2:18" ht="15" thickBot="1">
      <c r="B24" s="206"/>
      <c r="C24" s="205"/>
      <c r="D24" s="208"/>
      <c r="E24" s="190">
        <v>0</v>
      </c>
      <c r="F24" s="220"/>
      <c r="G24" s="51"/>
      <c r="H24" s="34"/>
      <c r="I24" s="30"/>
      <c r="J24" s="210"/>
      <c r="K24" s="53"/>
      <c r="N24" s="290"/>
    </row>
    <row r="25" spans="2:18" ht="15" thickBot="1">
      <c r="B25" s="46" t="s">
        <v>17</v>
      </c>
      <c r="C25" s="47"/>
      <c r="D25" s="48"/>
      <c r="E25" s="234">
        <v>466</v>
      </c>
      <c r="F25" s="153">
        <f>+F17-E25</f>
        <v>478242.22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202" t="s">
        <v>349</v>
      </c>
      <c r="C26" s="203"/>
      <c r="D26" s="204"/>
      <c r="E26" s="234">
        <v>0</v>
      </c>
      <c r="F26" s="288">
        <f>SUM(E25:E31)</f>
        <v>81899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22</v>
      </c>
      <c r="C27" s="200"/>
      <c r="D27" s="201"/>
      <c r="E27" s="49">
        <v>1433</v>
      </c>
      <c r="F27" s="153">
        <f>+F25-F26</f>
        <v>396343.22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199" t="s">
        <v>81</v>
      </c>
      <c r="C28" s="200"/>
      <c r="D28" s="201"/>
      <c r="E28" s="49">
        <v>0</v>
      </c>
      <c r="F28" s="221"/>
      <c r="G28" s="22">
        <f>24019.39-11500-8500</f>
        <v>4019.3899999999994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24</v>
      </c>
      <c r="C29" s="200"/>
      <c r="D29" s="201"/>
      <c r="E29" s="49">
        <v>80000</v>
      </c>
      <c r="F29" s="220"/>
      <c r="G29" s="22">
        <f>476526.18- 154326.09</f>
        <v>322200.08999999997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344" t="s">
        <v>25</v>
      </c>
      <c r="C30" s="345"/>
      <c r="D30" s="346"/>
      <c r="E30" s="49">
        <v>0</v>
      </c>
      <c r="F30" s="220"/>
      <c r="G30" s="67">
        <v>1751.21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63" t="s">
        <v>29</v>
      </c>
      <c r="C31" s="364"/>
      <c r="D31" s="365"/>
      <c r="E31" s="66">
        <v>0</v>
      </c>
      <c r="F31" s="220"/>
      <c r="G31" s="71">
        <f>401155.63-392255.64</f>
        <v>8899.9899999999907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61"/>
      <c r="F32" s="219"/>
      <c r="N32" s="269"/>
      <c r="P32" s="155"/>
      <c r="R32" s="155"/>
    </row>
    <row r="33" spans="5:18">
      <c r="E33" s="61"/>
      <c r="F33" s="219"/>
    </row>
    <row r="34" spans="5:18">
      <c r="E34" s="61"/>
      <c r="F34" s="219"/>
      <c r="H34" s="61"/>
      <c r="I34" s="61"/>
      <c r="J34" s="13"/>
      <c r="K34" s="61"/>
      <c r="L34" s="61"/>
      <c r="M34" s="61"/>
      <c r="N34" s="269"/>
      <c r="P34" s="155"/>
      <c r="R34" s="155"/>
    </row>
    <row r="35" spans="5:18">
      <c r="E35" s="8"/>
      <c r="F35" s="220"/>
      <c r="H35" s="61"/>
      <c r="I35" s="61"/>
      <c r="J35" s="13"/>
      <c r="K35" s="61"/>
      <c r="L35" s="61"/>
      <c r="M35" s="61"/>
    </row>
    <row r="36" spans="5:18" s="61" customFormat="1" ht="15" customHeight="1">
      <c r="E36" s="181" t="s">
        <v>353</v>
      </c>
      <c r="F36" s="222"/>
      <c r="G36" s="8"/>
      <c r="H36" s="13"/>
      <c r="J36" s="13"/>
      <c r="K36" s="83"/>
      <c r="L36" s="88"/>
      <c r="N36" s="272"/>
      <c r="P36" s="273"/>
      <c r="R36" s="273"/>
    </row>
    <row r="37" spans="5:18" s="61" customFormat="1" ht="15" customHeight="1">
      <c r="E37" s="181"/>
      <c r="F37" s="222"/>
      <c r="G37" s="181"/>
      <c r="H37" s="161"/>
      <c r="I37" s="197"/>
      <c r="J37" s="13"/>
      <c r="K37" s="83"/>
      <c r="L37" s="161"/>
      <c r="M37" s="197"/>
    </row>
    <row r="38" spans="5:18" s="61" customFormat="1" ht="15" customHeight="1">
      <c r="E38" s="8" t="s">
        <v>34</v>
      </c>
      <c r="F38" s="222">
        <f>F17</f>
        <v>478708.22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5:18" s="61" customFormat="1" ht="15" customHeight="1">
      <c r="E39" s="8" t="s">
        <v>35</v>
      </c>
      <c r="F39" s="222">
        <f>+E19</f>
        <v>336870.68</v>
      </c>
      <c r="G39" s="86"/>
      <c r="I39" s="197"/>
      <c r="J39" s="13"/>
      <c r="K39" s="85"/>
      <c r="M39" s="197"/>
    </row>
    <row r="40" spans="5:18" s="61" customFormat="1" ht="15" customHeight="1">
      <c r="E40" s="8" t="s">
        <v>36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5:18" s="61" customFormat="1" ht="15" customHeight="1">
      <c r="E41" s="8" t="s">
        <v>37</v>
      </c>
      <c r="F41" s="222">
        <v>0</v>
      </c>
      <c r="G41" s="9"/>
      <c r="I41" s="197"/>
      <c r="J41" s="13"/>
      <c r="M41" s="197"/>
    </row>
    <row r="42" spans="5:18" s="61" customFormat="1" ht="15" customHeight="1">
      <c r="E42" s="182" t="s">
        <v>38</v>
      </c>
      <c r="F42" s="223">
        <f>SUM(F38:F41)</f>
        <v>815578.89999999991</v>
      </c>
      <c r="G42" s="9"/>
      <c r="I42" s="197"/>
      <c r="J42" s="13"/>
      <c r="M42" s="197"/>
      <c r="N42" s="272"/>
      <c r="P42" s="273"/>
      <c r="R42" s="273"/>
    </row>
    <row r="43" spans="5:18" s="61" customFormat="1" ht="15" customHeight="1">
      <c r="E43" s="183"/>
      <c r="F43" s="224"/>
      <c r="G43" s="9"/>
      <c r="H43" s="163"/>
      <c r="I43" s="229"/>
      <c r="J43" s="13"/>
      <c r="L43" s="163"/>
      <c r="M43" s="229"/>
    </row>
    <row r="44" spans="5:18" s="61" customFormat="1" ht="15" customHeight="1">
      <c r="E44" s="183" t="s">
        <v>152</v>
      </c>
      <c r="F44" s="224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5:18" s="61" customFormat="1" ht="15" customHeight="1">
      <c r="E45" s="183" t="s">
        <v>180</v>
      </c>
      <c r="F45" s="224">
        <v>25000</v>
      </c>
      <c r="G45" s="9"/>
      <c r="H45" s="165"/>
      <c r="I45" s="230"/>
      <c r="J45" s="13"/>
    </row>
    <row r="46" spans="5:18" s="61" customFormat="1" ht="15" customHeight="1">
      <c r="E46" s="183" t="s">
        <v>52</v>
      </c>
      <c r="F46" s="224">
        <v>32000</v>
      </c>
      <c r="G46" s="9"/>
      <c r="H46" s="165"/>
      <c r="I46" s="230"/>
      <c r="J46" s="13"/>
    </row>
    <row r="47" spans="5:18" s="61" customFormat="1" ht="15" customHeight="1">
      <c r="E47" s="183" t="s">
        <v>64</v>
      </c>
      <c r="F47" s="224">
        <v>145000</v>
      </c>
      <c r="G47" s="9"/>
      <c r="H47" s="165"/>
      <c r="I47" s="230"/>
      <c r="J47" s="13"/>
    </row>
    <row r="48" spans="5:18" s="61" customFormat="1" ht="15" customHeight="1">
      <c r="E48" s="183" t="s">
        <v>116</v>
      </c>
      <c r="F48" s="224">
        <v>36000</v>
      </c>
      <c r="G48" s="9"/>
      <c r="H48" s="165"/>
      <c r="I48" s="230"/>
      <c r="J48" s="13"/>
    </row>
    <row r="49" spans="5:13" s="61" customFormat="1" ht="15" customHeight="1">
      <c r="E49" s="116" t="s">
        <v>24</v>
      </c>
      <c r="F49" s="220">
        <v>80000</v>
      </c>
      <c r="G49" s="9"/>
      <c r="H49" s="165"/>
      <c r="I49" s="230"/>
      <c r="J49" s="13"/>
    </row>
    <row r="50" spans="5:13" s="61" customFormat="1">
      <c r="E50" s="116" t="s">
        <v>22</v>
      </c>
      <c r="F50" s="220">
        <v>50000</v>
      </c>
      <c r="G50" s="8"/>
      <c r="H50" s="91"/>
      <c r="I50" s="231"/>
      <c r="J50" s="13"/>
    </row>
    <row r="51" spans="5:13" s="61" customFormat="1">
      <c r="E51" s="116" t="s">
        <v>346</v>
      </c>
      <c r="F51" s="220">
        <v>50000</v>
      </c>
      <c r="G51" s="8"/>
      <c r="H51" s="96"/>
      <c r="I51" s="231"/>
      <c r="J51" s="262"/>
    </row>
    <row r="52" spans="5:13" s="61" customFormat="1">
      <c r="E52" s="116" t="s">
        <v>347</v>
      </c>
      <c r="F52" s="220">
        <v>0</v>
      </c>
      <c r="G52" s="8"/>
      <c r="H52" s="96"/>
      <c r="I52" s="231"/>
      <c r="J52" s="262"/>
    </row>
    <row r="53" spans="5:13" s="61" customFormat="1">
      <c r="E53" s="116" t="s">
        <v>53</v>
      </c>
      <c r="F53" s="220">
        <v>0</v>
      </c>
      <c r="G53" s="8"/>
      <c r="H53" s="96"/>
      <c r="I53" s="231"/>
      <c r="J53" s="262"/>
    </row>
    <row r="54" spans="5:13" s="61" customFormat="1">
      <c r="E54" s="116" t="s">
        <v>40</v>
      </c>
      <c r="F54" s="226">
        <f>180000-70000</f>
        <v>110000</v>
      </c>
      <c r="G54" s="8"/>
      <c r="H54" s="96"/>
      <c r="I54" s="231"/>
      <c r="J54" s="262"/>
    </row>
    <row r="55" spans="5:13" s="61" customFormat="1">
      <c r="E55" s="118" t="s">
        <v>41</v>
      </c>
      <c r="F55" s="225">
        <f>SUM(F44:F54)</f>
        <v>653000</v>
      </c>
      <c r="G55" s="82"/>
      <c r="H55" s="83"/>
      <c r="I55" s="228"/>
      <c r="J55" s="13"/>
    </row>
    <row r="56" spans="5:13" s="61" customFormat="1">
      <c r="E56" s="118" t="s">
        <v>42</v>
      </c>
      <c r="F56" s="225">
        <f>F42-F55</f>
        <v>162578.89999999991</v>
      </c>
      <c r="G56" s="82"/>
      <c r="H56" s="83"/>
      <c r="I56" s="233"/>
      <c r="J56" s="13"/>
      <c r="L56" s="91"/>
      <c r="M56" s="232"/>
    </row>
    <row r="57" spans="5:13" s="61" customFormat="1">
      <c r="E57" s="8"/>
      <c r="F57" s="154"/>
      <c r="G57" s="82"/>
      <c r="H57" s="83"/>
      <c r="I57" s="233"/>
      <c r="J57" s="13"/>
      <c r="L57" s="91"/>
      <c r="M57" s="232"/>
    </row>
    <row r="58" spans="5:13" s="61" customFormat="1">
      <c r="E58" s="82" t="s">
        <v>43</v>
      </c>
      <c r="F58" s="80">
        <f>43800+180000</f>
        <v>223800</v>
      </c>
      <c r="G58" s="82"/>
      <c r="H58" s="83"/>
      <c r="I58" s="233"/>
      <c r="J58" s="13"/>
      <c r="L58" s="96"/>
      <c r="M58" s="231"/>
    </row>
    <row r="59" spans="5:13" s="61" customFormat="1">
      <c r="E59" s="82" t="s">
        <v>44</v>
      </c>
      <c r="F59" s="80">
        <v>365000</v>
      </c>
      <c r="G59" s="82"/>
      <c r="H59" s="96"/>
      <c r="I59" s="228"/>
      <c r="J59" s="13"/>
      <c r="L59" s="96"/>
      <c r="M59" s="233"/>
    </row>
    <row r="60" spans="5:13" s="61" customFormat="1">
      <c r="E60" s="82" t="s">
        <v>45</v>
      </c>
      <c r="F60" s="117">
        <v>0</v>
      </c>
      <c r="G60" s="82"/>
      <c r="H60" s="83"/>
      <c r="I60" s="233"/>
      <c r="J60" s="13"/>
    </row>
    <row r="61" spans="5:13" s="61" customFormat="1">
      <c r="E61" s="82" t="s">
        <v>205</v>
      </c>
      <c r="F61" s="117">
        <v>0</v>
      </c>
      <c r="G61"/>
      <c r="H61" s="96"/>
      <c r="I61" s="219"/>
      <c r="J61" s="13"/>
      <c r="L61" s="83"/>
      <c r="M61" s="228"/>
    </row>
    <row r="62" spans="5:13">
      <c r="E62" s="82" t="s">
        <v>206</v>
      </c>
      <c r="F62" s="117">
        <v>0</v>
      </c>
      <c r="H62" s="61"/>
      <c r="I62" s="61"/>
      <c r="J62" s="13"/>
      <c r="K62" s="61"/>
      <c r="L62" s="61"/>
      <c r="M62" s="61"/>
    </row>
    <row r="63" spans="5:13">
      <c r="E63" s="118" t="s">
        <v>46</v>
      </c>
      <c r="F63" s="120">
        <f>SUM(F58:F62)</f>
        <v>588800</v>
      </c>
      <c r="H63" s="61"/>
      <c r="I63" s="61"/>
      <c r="J63" s="13"/>
      <c r="K63" s="61"/>
      <c r="L63" s="61"/>
      <c r="M63" s="61"/>
    </row>
    <row r="64" spans="5:13">
      <c r="E64" s="82"/>
      <c r="F64" s="80"/>
    </row>
    <row r="65" spans="1:7">
      <c r="E65" s="118" t="s">
        <v>47</v>
      </c>
      <c r="F65" s="120">
        <f>F56-F63</f>
        <v>-426221.10000000009</v>
      </c>
      <c r="G65" s="8"/>
    </row>
    <row r="66" spans="1:7">
      <c r="D66" s="247" t="s">
        <v>192</v>
      </c>
      <c r="E66" s="8"/>
      <c r="F66" s="220"/>
      <c r="G66" s="8"/>
    </row>
    <row r="67" spans="1:7">
      <c r="D67" s="247" t="s">
        <v>194</v>
      </c>
      <c r="E67" s="8"/>
      <c r="F67" s="220"/>
      <c r="G67" s="8"/>
    </row>
    <row r="68" spans="1:7">
      <c r="D68" s="8" t="s">
        <v>9</v>
      </c>
      <c r="E68" s="8"/>
      <c r="F68" s="220"/>
      <c r="G68" s="8"/>
    </row>
    <row r="69" spans="1:7">
      <c r="D69" s="8" t="s">
        <v>195</v>
      </c>
      <c r="E69" s="8"/>
      <c r="F69" s="220"/>
      <c r="G69" s="124">
        <f>SUM(E75:F75)</f>
        <v>0</v>
      </c>
    </row>
    <row r="70" spans="1:7">
      <c r="D70" s="8" t="s">
        <v>188</v>
      </c>
      <c r="E70" s="243"/>
      <c r="F70" s="243"/>
      <c r="G70" s="8"/>
    </row>
    <row r="71" spans="1:7">
      <c r="D71" s="8"/>
      <c r="E71" s="243"/>
      <c r="F71" s="244"/>
    </row>
    <row r="72" spans="1:7">
      <c r="E72" s="245"/>
      <c r="F72" s="246"/>
    </row>
    <row r="73" spans="1:7">
      <c r="E73" s="276"/>
      <c r="F73" s="287"/>
    </row>
    <row r="74" spans="1:7">
      <c r="E74" s="276"/>
      <c r="F74" s="287"/>
    </row>
    <row r="75" spans="1:7">
      <c r="E75" s="127"/>
      <c r="F75" s="287"/>
    </row>
    <row r="76" spans="1:7">
      <c r="E76" s="79"/>
    </row>
    <row r="77" spans="1:7">
      <c r="A77" s="268"/>
      <c r="E77" s="79"/>
    </row>
    <row r="78" spans="1:7">
      <c r="E78" s="79"/>
    </row>
    <row r="79" spans="1:7">
      <c r="E79" s="79"/>
    </row>
    <row r="80" spans="1:7">
      <c r="B80" s="235"/>
      <c r="E80" s="79"/>
    </row>
    <row r="81" spans="1:5">
      <c r="E81" s="79"/>
    </row>
    <row r="82" spans="1:5">
      <c r="E82" s="277"/>
    </row>
    <row r="83" spans="1:5">
      <c r="A83" s="269"/>
      <c r="C83" s="155"/>
      <c r="E83" s="79"/>
    </row>
    <row r="84" spans="1:5">
      <c r="E84" s="277"/>
    </row>
    <row r="85" spans="1:5">
      <c r="A85" s="269"/>
      <c r="C85" s="155"/>
      <c r="E85" s="79"/>
    </row>
    <row r="86" spans="1:5">
      <c r="E86" s="277"/>
    </row>
    <row r="87" spans="1:5">
      <c r="A87" s="269"/>
      <c r="C87" s="155"/>
      <c r="E87" s="79"/>
    </row>
    <row r="88" spans="1:5">
      <c r="E88" s="277"/>
    </row>
    <row r="89" spans="1:5">
      <c r="A89" s="269"/>
      <c r="C89" s="155"/>
      <c r="E89" s="79"/>
    </row>
    <row r="90" spans="1:5">
      <c r="E90" s="277"/>
    </row>
    <row r="91" spans="1:5">
      <c r="A91" s="269"/>
      <c r="C91" s="155"/>
      <c r="E91" s="79"/>
    </row>
    <row r="92" spans="1:5">
      <c r="E92" s="277"/>
    </row>
    <row r="93" spans="1:5">
      <c r="A93" s="269"/>
      <c r="C93" s="155"/>
      <c r="E93" s="79"/>
    </row>
    <row r="94" spans="1:5">
      <c r="E94" s="277"/>
    </row>
    <row r="95" spans="1:5">
      <c r="A95" s="269"/>
      <c r="C95" s="155"/>
      <c r="E95" s="79"/>
    </row>
    <row r="96" spans="1:5">
      <c r="E96" s="277"/>
    </row>
    <row r="97" spans="1:5">
      <c r="A97" s="269"/>
      <c r="C97" s="155"/>
      <c r="E97" s="79"/>
    </row>
    <row r="98" spans="1:5">
      <c r="E98" s="277"/>
    </row>
    <row r="99" spans="1:5">
      <c r="A99" s="269"/>
      <c r="C99" s="155"/>
      <c r="E99" s="79"/>
    </row>
    <row r="100" spans="1:5">
      <c r="E100" s="277"/>
    </row>
    <row r="101" spans="1:5">
      <c r="A101" s="269"/>
      <c r="C101" s="155"/>
      <c r="E101" s="79"/>
    </row>
    <row r="102" spans="1:5">
      <c r="E102" s="277"/>
    </row>
    <row r="103" spans="1:5">
      <c r="A103" s="269"/>
      <c r="C103" s="155"/>
      <c r="E103" s="79"/>
    </row>
    <row r="104" spans="1:5">
      <c r="E104" s="277"/>
    </row>
    <row r="105" spans="1:5">
      <c r="A105" s="269"/>
      <c r="C105" s="155"/>
      <c r="E105" s="79"/>
    </row>
    <row r="106" spans="1:5">
      <c r="E106" s="277"/>
    </row>
    <row r="107" spans="1:5">
      <c r="A107" s="269"/>
      <c r="C107" s="155"/>
      <c r="E107" s="79"/>
    </row>
    <row r="108" spans="1:5">
      <c r="E108" s="277"/>
    </row>
    <row r="109" spans="1:5">
      <c r="A109" s="269"/>
      <c r="C109" s="155"/>
      <c r="E109" s="79"/>
    </row>
    <row r="110" spans="1:5">
      <c r="E110" s="277"/>
    </row>
    <row r="111" spans="1:5">
      <c r="A111" s="269"/>
      <c r="C111" s="155"/>
      <c r="E111" s="79"/>
    </row>
    <row r="112" spans="1:5">
      <c r="E112" s="277"/>
    </row>
    <row r="113" spans="1:5">
      <c r="A113" s="269"/>
      <c r="C113" s="155"/>
      <c r="E113" s="79"/>
    </row>
    <row r="114" spans="1:5">
      <c r="E114" s="277"/>
    </row>
    <row r="115" spans="1:5">
      <c r="A115" s="269"/>
      <c r="C115" s="155"/>
      <c r="E115" s="79"/>
    </row>
    <row r="116" spans="1:5">
      <c r="E116" s="277"/>
    </row>
    <row r="117" spans="1:5">
      <c r="A117" s="269"/>
      <c r="C117" s="155"/>
      <c r="E117" s="79"/>
    </row>
    <row r="118" spans="1:5">
      <c r="E118" s="277"/>
    </row>
    <row r="119" spans="1:5">
      <c r="A119" s="269"/>
      <c r="C119" s="155"/>
      <c r="E119" s="79"/>
    </row>
    <row r="120" spans="1:5">
      <c r="E120" s="277"/>
    </row>
    <row r="121" spans="1:5">
      <c r="A121" s="269"/>
      <c r="C121" s="155"/>
      <c r="E121" s="79"/>
    </row>
    <row r="122" spans="1:5">
      <c r="E122" s="277"/>
    </row>
    <row r="123" spans="1:5">
      <c r="A123" s="269"/>
      <c r="C123" s="155"/>
      <c r="E123" s="79"/>
    </row>
    <row r="124" spans="1:5">
      <c r="E124" s="277"/>
    </row>
    <row r="125" spans="1:5">
      <c r="A125" s="269"/>
      <c r="C125" s="155"/>
      <c r="E125" s="79"/>
    </row>
    <row r="126" spans="1:5">
      <c r="E126" s="277"/>
    </row>
    <row r="127" spans="1:5">
      <c r="A127" s="269"/>
      <c r="C127" s="155"/>
    </row>
    <row r="128" spans="1:5">
      <c r="E128" s="155"/>
    </row>
    <row r="129" spans="1:5">
      <c r="A129" s="269"/>
      <c r="C129" s="155"/>
    </row>
    <row r="130" spans="1:5">
      <c r="E130" s="155"/>
    </row>
    <row r="131" spans="1:5">
      <c r="A131" s="269"/>
      <c r="C131" s="155"/>
    </row>
    <row r="132" spans="1:5">
      <c r="E132" s="155"/>
    </row>
    <row r="133" spans="1:5">
      <c r="A133" s="269"/>
      <c r="C133" s="155"/>
    </row>
    <row r="134" spans="1:5">
      <c r="E134" s="155"/>
    </row>
    <row r="135" spans="1:5">
      <c r="A135" s="269"/>
      <c r="C135" s="155"/>
    </row>
    <row r="136" spans="1:5">
      <c r="E136" s="155"/>
    </row>
    <row r="137" spans="1:5">
      <c r="A137" s="269"/>
      <c r="C137" s="155"/>
    </row>
    <row r="138" spans="1:5">
      <c r="E138" s="155"/>
    </row>
    <row r="139" spans="1:5">
      <c r="A139" s="269"/>
      <c r="C139" s="155"/>
    </row>
    <row r="140" spans="1:5">
      <c r="E140" s="155"/>
    </row>
    <row r="141" spans="1:5">
      <c r="A141" s="269"/>
      <c r="C141" s="155"/>
    </row>
    <row r="142" spans="1:5">
      <c r="E142" s="155"/>
    </row>
    <row r="143" spans="1:5">
      <c r="A143" s="269"/>
      <c r="C143" s="155"/>
    </row>
    <row r="144" spans="1:5">
      <c r="E144" s="155"/>
    </row>
    <row r="145" spans="1:5">
      <c r="A145" s="269"/>
      <c r="C145" s="155"/>
    </row>
    <row r="146" spans="1:5">
      <c r="E146" s="155"/>
    </row>
    <row r="147" spans="1:5">
      <c r="A147" s="269"/>
      <c r="C147" s="155"/>
    </row>
    <row r="148" spans="1:5">
      <c r="E148" s="155"/>
    </row>
    <row r="149" spans="1:5">
      <c r="A149" s="269"/>
      <c r="C149" s="155"/>
    </row>
    <row r="150" spans="1:5">
      <c r="E150" s="155"/>
    </row>
    <row r="151" spans="1:5">
      <c r="A151" s="269"/>
      <c r="C151" s="155"/>
    </row>
    <row r="152" spans="1:5">
      <c r="E152" s="155"/>
    </row>
    <row r="153" spans="1:5">
      <c r="A153" s="269"/>
      <c r="C153" s="155"/>
    </row>
    <row r="154" spans="1:5">
      <c r="E154" s="155"/>
    </row>
    <row r="155" spans="1:5">
      <c r="A155" s="269"/>
      <c r="C155" s="155"/>
    </row>
    <row r="156" spans="1:5">
      <c r="E156" s="155"/>
    </row>
    <row r="157" spans="1:5">
      <c r="A157" s="269"/>
      <c r="C157" s="155"/>
    </row>
    <row r="158" spans="1:5">
      <c r="E158" s="155"/>
    </row>
    <row r="159" spans="1:5">
      <c r="A159" s="269"/>
      <c r="C159" s="155"/>
    </row>
    <row r="160" spans="1:5">
      <c r="E160" s="155"/>
    </row>
    <row r="161" spans="1:5">
      <c r="A161" s="269"/>
      <c r="C161" s="155"/>
    </row>
    <row r="162" spans="1:5">
      <c r="E162" s="155"/>
    </row>
    <row r="163" spans="1:5">
      <c r="A163" s="269"/>
      <c r="C163" s="155"/>
    </row>
    <row r="164" spans="1:5">
      <c r="E164" s="155"/>
    </row>
    <row r="165" spans="1:5">
      <c r="A165" s="269"/>
      <c r="C165" s="155"/>
    </row>
    <row r="166" spans="1:5">
      <c r="E166" s="155"/>
    </row>
    <row r="167" spans="1:5">
      <c r="A167" s="269"/>
      <c r="C167" s="155"/>
    </row>
    <row r="168" spans="1:5">
      <c r="E168" s="155"/>
    </row>
    <row r="169" spans="1:5">
      <c r="A169" s="269"/>
      <c r="C169" s="155"/>
    </row>
    <row r="170" spans="1:5">
      <c r="E170" s="155"/>
    </row>
    <row r="171" spans="1:5">
      <c r="A171" s="269"/>
      <c r="C171" s="155"/>
    </row>
    <row r="172" spans="1:5">
      <c r="E172" s="155"/>
    </row>
    <row r="173" spans="1:5">
      <c r="A173" s="269"/>
      <c r="C173" s="155"/>
    </row>
    <row r="174" spans="1:5">
      <c r="E174" s="155"/>
    </row>
    <row r="175" spans="1:5">
      <c r="A175" s="269"/>
      <c r="C175" s="155"/>
    </row>
    <row r="176" spans="1:5">
      <c r="E176" s="155"/>
    </row>
    <row r="177" spans="1:5">
      <c r="A177" s="269"/>
      <c r="C177" s="155"/>
    </row>
    <row r="178" spans="1:5">
      <c r="E178" s="155"/>
    </row>
    <row r="179" spans="1:5">
      <c r="A179" s="269"/>
      <c r="C179" s="155"/>
    </row>
    <row r="180" spans="1:5">
      <c r="E180" s="155"/>
    </row>
    <row r="181" spans="1:5">
      <c r="A181" s="269"/>
      <c r="C181" s="155"/>
    </row>
    <row r="182" spans="1:5">
      <c r="E182" s="155"/>
    </row>
    <row r="183" spans="1:5">
      <c r="A183" s="269"/>
      <c r="C183" s="155"/>
    </row>
    <row r="184" spans="1:5">
      <c r="E184" s="155"/>
    </row>
    <row r="185" spans="1:5">
      <c r="A185" s="269"/>
      <c r="C185" s="155"/>
    </row>
    <row r="186" spans="1:5">
      <c r="E186" s="155"/>
    </row>
    <row r="187" spans="1:5">
      <c r="A187" s="269"/>
      <c r="C187" s="155"/>
    </row>
    <row r="188" spans="1:5">
      <c r="E188" s="155"/>
    </row>
    <row r="189" spans="1:5">
      <c r="A189" s="269"/>
      <c r="C189" s="155"/>
    </row>
    <row r="190" spans="1:5">
      <c r="E190" s="155"/>
    </row>
    <row r="191" spans="1:5">
      <c r="A191" s="269"/>
      <c r="C191" s="155"/>
    </row>
    <row r="192" spans="1:5">
      <c r="E192" s="155"/>
    </row>
    <row r="193" spans="1:5">
      <c r="A193" s="269"/>
      <c r="C193" s="155"/>
    </row>
    <row r="194" spans="1:5">
      <c r="E194" s="155"/>
    </row>
    <row r="195" spans="1:5">
      <c r="A195" s="269"/>
      <c r="C195" s="155"/>
    </row>
    <row r="196" spans="1:5">
      <c r="E196" s="155"/>
    </row>
    <row r="197" spans="1:5">
      <c r="A197" s="269"/>
      <c r="C197" s="155"/>
    </row>
    <row r="198" spans="1:5">
      <c r="E198" s="155"/>
    </row>
    <row r="199" spans="1:5">
      <c r="A199" s="269"/>
      <c r="C199" s="155"/>
    </row>
    <row r="200" spans="1:5">
      <c r="E200" s="155"/>
    </row>
    <row r="201" spans="1:5">
      <c r="A201" s="269"/>
      <c r="C201" s="155"/>
    </row>
    <row r="202" spans="1:5">
      <c r="E202" s="155"/>
    </row>
    <row r="203" spans="1:5">
      <c r="A203" s="269"/>
      <c r="D203" s="155"/>
    </row>
    <row r="204" spans="1:5">
      <c r="E204" s="155"/>
    </row>
    <row r="205" spans="1:5">
      <c r="A205" s="269"/>
      <c r="C205" s="155"/>
    </row>
    <row r="206" spans="1:5">
      <c r="E206" s="155"/>
    </row>
    <row r="207" spans="1:5">
      <c r="A207" s="269"/>
      <c r="C207" s="155"/>
    </row>
    <row r="208" spans="1:5">
      <c r="E208" s="155"/>
    </row>
    <row r="209" spans="1:5">
      <c r="A209" s="269"/>
      <c r="C209" s="155"/>
    </row>
    <row r="210" spans="1:5">
      <c r="E210" s="155"/>
    </row>
    <row r="211" spans="1:5">
      <c r="A211" s="269"/>
      <c r="C211" s="155"/>
    </row>
    <row r="212" spans="1:5">
      <c r="E212" s="155"/>
    </row>
    <row r="213" spans="1:5">
      <c r="A213" s="269"/>
      <c r="C213" s="155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DE062-0401-4685-B709-99C5F5EEEFF6}">
  <dimension ref="A6:R213"/>
  <sheetViews>
    <sheetView showGridLines="0" topLeftCell="A7" workbookViewId="0">
      <selection activeCell="A7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34" t="s">
        <v>3</v>
      </c>
      <c r="C14" s="335"/>
      <c r="D14" s="336"/>
      <c r="E14" s="17">
        <f>SUM(E15:E17)</f>
        <v>573945.54999999993</v>
      </c>
      <c r="F14" s="150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37" t="s">
        <v>5</v>
      </c>
      <c r="C15" s="338"/>
      <c r="D15" s="339"/>
      <c r="E15" s="20">
        <f>J16+J17+J18+J19</f>
        <v>441800.36</v>
      </c>
      <c r="F15" s="153">
        <f>E15+E16+E17</f>
        <v>573945.54999999993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349" t="s">
        <v>7</v>
      </c>
      <c r="C16" s="350"/>
      <c r="D16" s="351"/>
      <c r="E16" s="20">
        <f>G22+G23</f>
        <v>35325.300000000003</v>
      </c>
      <c r="F16" s="153">
        <v>90000</v>
      </c>
      <c r="G16" s="22">
        <v>7198.32</v>
      </c>
      <c r="H16" s="23" t="s">
        <v>8</v>
      </c>
      <c r="I16" s="24"/>
      <c r="J16" s="25">
        <v>74520.84</v>
      </c>
      <c r="K16" s="26" t="s">
        <v>9</v>
      </c>
      <c r="L16" s="13"/>
      <c r="N16" s="3"/>
    </row>
    <row r="17" spans="2:18">
      <c r="B17" s="352" t="s">
        <v>6</v>
      </c>
      <c r="C17" s="353"/>
      <c r="D17" s="354"/>
      <c r="E17" s="28">
        <f>G16+G17+G18</f>
        <v>96819.89</v>
      </c>
      <c r="F17" s="153">
        <f>+F15-F16</f>
        <v>483945.54999999993</v>
      </c>
      <c r="G17" s="22">
        <v>45762.05</v>
      </c>
      <c r="H17" s="29" t="s">
        <v>10</v>
      </c>
      <c r="I17" s="30"/>
      <c r="J17" s="25">
        <v>79979.3</v>
      </c>
      <c r="K17" s="31" t="s">
        <v>10</v>
      </c>
      <c r="N17" s="3"/>
    </row>
    <row r="18" spans="2:18">
      <c r="B18" s="236" t="s">
        <v>187</v>
      </c>
      <c r="C18" s="237"/>
      <c r="D18" s="238"/>
      <c r="E18" s="28">
        <f>+J22</f>
        <v>14541.8</v>
      </c>
      <c r="F18" s="153"/>
      <c r="G18" s="22">
        <v>43859.519999999997</v>
      </c>
      <c r="H18" s="29" t="s">
        <v>12</v>
      </c>
      <c r="I18" s="30"/>
      <c r="J18" s="25">
        <v>18679.62</v>
      </c>
      <c r="K18" s="31" t="s">
        <v>12</v>
      </c>
      <c r="L18" s="152"/>
      <c r="N18" s="3"/>
    </row>
    <row r="19" spans="2:18">
      <c r="B19" s="379" t="s">
        <v>11</v>
      </c>
      <c r="C19" s="380"/>
      <c r="D19" s="381"/>
      <c r="E19" s="20">
        <f>G29+G31+G30+G28</f>
        <v>337052.77999999997</v>
      </c>
      <c r="F19" s="153"/>
      <c r="G19" s="33"/>
      <c r="H19" s="34"/>
      <c r="I19" s="30"/>
      <c r="J19" s="25">
        <v>268620.59999999998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14975144.1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SUM(E22:E24)</f>
        <v>97125.919999999984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118</v>
      </c>
      <c r="E22" s="190">
        <v>34136.239999999998</v>
      </c>
      <c r="F22" s="153"/>
      <c r="G22" s="44">
        <v>11218.04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187"/>
      <c r="C23" s="188"/>
      <c r="D23" s="198" t="s">
        <v>118</v>
      </c>
      <c r="E23" s="190">
        <v>34098.06</v>
      </c>
      <c r="F23" s="153"/>
      <c r="G23" s="44">
        <v>24107.26</v>
      </c>
      <c r="H23" s="29" t="s">
        <v>18</v>
      </c>
      <c r="I23" s="30"/>
      <c r="J23" s="25"/>
      <c r="K23" s="31"/>
    </row>
    <row r="24" spans="2:18" ht="15" thickBot="1">
      <c r="B24" s="206"/>
      <c r="C24" s="205"/>
      <c r="D24" s="208" t="s">
        <v>118</v>
      </c>
      <c r="E24" s="190">
        <v>28891.62</v>
      </c>
      <c r="F24" s="220"/>
      <c r="G24" s="51"/>
      <c r="H24" s="34"/>
      <c r="I24" s="30"/>
      <c r="J24" s="210"/>
      <c r="K24" s="53"/>
      <c r="N24" s="290"/>
    </row>
    <row r="25" spans="2:18" ht="15" thickBot="1">
      <c r="B25" s="46" t="s">
        <v>17</v>
      </c>
      <c r="C25" s="47"/>
      <c r="D25" s="48"/>
      <c r="E25" s="234">
        <v>40148.959999999999</v>
      </c>
      <c r="F25" s="153">
        <f>+F17-E25</f>
        <v>443796.58999999991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202" t="s">
        <v>349</v>
      </c>
      <c r="C26" s="203"/>
      <c r="D26" s="204"/>
      <c r="E26" s="234">
        <v>0</v>
      </c>
      <c r="F26" s="288">
        <f>SUM(E25:E31)</f>
        <v>126148.95999999999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116</v>
      </c>
      <c r="C27" s="200"/>
      <c r="D27" s="201"/>
      <c r="E27" s="49">
        <v>36000</v>
      </c>
      <c r="F27" s="153">
        <f>+F25-F26</f>
        <v>317647.62999999989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199" t="s">
        <v>81</v>
      </c>
      <c r="C28" s="200"/>
      <c r="D28" s="201"/>
      <c r="E28" s="49">
        <v>0</v>
      </c>
      <c r="F28" s="221"/>
      <c r="G28" s="22">
        <f>24022.3-11500-8500</f>
        <v>4022.2999999999993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24</v>
      </c>
      <c r="C29" s="200"/>
      <c r="D29" s="201"/>
      <c r="E29" s="49">
        <v>0</v>
      </c>
      <c r="F29" s="220"/>
      <c r="G29" s="22">
        <f>476599.97- 154326.09</f>
        <v>322273.88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344" t="s">
        <v>25</v>
      </c>
      <c r="C30" s="345"/>
      <c r="D30" s="346"/>
      <c r="E30" s="49">
        <v>0</v>
      </c>
      <c r="F30" s="220"/>
      <c r="G30" s="67">
        <v>1751.55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63" t="s">
        <v>29</v>
      </c>
      <c r="C31" s="364"/>
      <c r="D31" s="365"/>
      <c r="E31" s="66">
        <v>50000</v>
      </c>
      <c r="F31" s="220"/>
      <c r="G31" s="71">
        <f>401260.69-392255.64</f>
        <v>9005.0499999999884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61"/>
      <c r="F32" s="220"/>
      <c r="N32" s="269"/>
      <c r="P32" s="155"/>
      <c r="R32" s="155"/>
    </row>
    <row r="33" spans="5:18">
      <c r="E33" s="61"/>
      <c r="F33" s="220"/>
    </row>
    <row r="34" spans="5:18">
      <c r="E34" s="61"/>
      <c r="F34" s="220"/>
      <c r="H34" s="61"/>
      <c r="I34" s="61"/>
      <c r="J34" s="13"/>
      <c r="K34" s="61"/>
      <c r="L34" s="61"/>
      <c r="M34" s="61"/>
      <c r="N34" s="269"/>
      <c r="P34" s="155"/>
      <c r="R34" s="155"/>
    </row>
    <row r="35" spans="5:18">
      <c r="E35" s="8"/>
      <c r="F35" s="220"/>
      <c r="H35" s="61"/>
      <c r="I35" s="61"/>
      <c r="J35" s="13"/>
      <c r="K35" s="61"/>
      <c r="L35" s="61"/>
      <c r="M35" s="61"/>
    </row>
    <row r="36" spans="5:18" s="61" customFormat="1" ht="15" customHeight="1">
      <c r="E36" s="181" t="s">
        <v>353</v>
      </c>
      <c r="F36" s="222"/>
      <c r="G36" s="8"/>
      <c r="H36" s="13"/>
      <c r="J36" s="13"/>
      <c r="K36" s="83"/>
      <c r="L36" s="88"/>
      <c r="N36" s="272"/>
      <c r="P36" s="273"/>
      <c r="R36" s="273"/>
    </row>
    <row r="37" spans="5:18" s="61" customFormat="1" ht="15" customHeight="1">
      <c r="E37" s="181"/>
      <c r="F37" s="222"/>
      <c r="G37" s="181"/>
      <c r="H37" s="161"/>
      <c r="I37" s="197"/>
      <c r="J37" s="13"/>
      <c r="K37" s="83"/>
      <c r="L37" s="161"/>
      <c r="M37" s="197"/>
    </row>
    <row r="38" spans="5:18" s="61" customFormat="1" ht="15" customHeight="1">
      <c r="E38" s="8" t="s">
        <v>34</v>
      </c>
      <c r="F38" s="222">
        <f>F17</f>
        <v>483945.54999999993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5:18" s="61" customFormat="1" ht="15" customHeight="1">
      <c r="E39" s="8" t="s">
        <v>35</v>
      </c>
      <c r="F39" s="222">
        <f>+E19</f>
        <v>337052.77999999997</v>
      </c>
      <c r="G39" s="86"/>
      <c r="I39" s="197"/>
      <c r="J39" s="13"/>
      <c r="K39" s="85"/>
      <c r="M39" s="197"/>
    </row>
    <row r="40" spans="5:18" s="61" customFormat="1" ht="15" customHeight="1">
      <c r="E40" s="8" t="s">
        <v>36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5:18" s="61" customFormat="1" ht="15" customHeight="1">
      <c r="E41" s="8" t="s">
        <v>37</v>
      </c>
      <c r="F41" s="222">
        <v>0</v>
      </c>
      <c r="G41" s="9"/>
      <c r="I41" s="197"/>
      <c r="J41" s="13"/>
      <c r="M41" s="197"/>
    </row>
    <row r="42" spans="5:18" s="61" customFormat="1" ht="15" customHeight="1">
      <c r="E42" s="182" t="s">
        <v>38</v>
      </c>
      <c r="F42" s="223">
        <f>SUM(F38:F41)</f>
        <v>820998.32999999984</v>
      </c>
      <c r="G42" s="9"/>
      <c r="I42" s="197"/>
      <c r="J42" s="13"/>
      <c r="M42" s="197"/>
      <c r="N42" s="272"/>
      <c r="P42" s="273"/>
      <c r="R42" s="273"/>
    </row>
    <row r="43" spans="5:18" s="61" customFormat="1" ht="15" customHeight="1">
      <c r="E43" s="183"/>
      <c r="F43" s="224"/>
      <c r="G43" s="9"/>
      <c r="H43" s="163"/>
      <c r="I43" s="229"/>
      <c r="J43" s="13"/>
      <c r="L43" s="163"/>
      <c r="M43" s="229"/>
    </row>
    <row r="44" spans="5:18" s="61" customFormat="1" ht="15" customHeight="1">
      <c r="E44" s="183" t="s">
        <v>152</v>
      </c>
      <c r="F44" s="224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5:18" s="61" customFormat="1" ht="15" customHeight="1">
      <c r="E45" s="183" t="s">
        <v>180</v>
      </c>
      <c r="F45" s="224">
        <v>0</v>
      </c>
      <c r="G45" s="9"/>
      <c r="H45" s="165"/>
      <c r="I45" s="230"/>
      <c r="J45" s="13"/>
    </row>
    <row r="46" spans="5:18" s="61" customFormat="1" ht="15" customHeight="1">
      <c r="E46" s="183" t="s">
        <v>52</v>
      </c>
      <c r="F46" s="224">
        <v>32000</v>
      </c>
      <c r="G46" s="9"/>
      <c r="H46" s="165"/>
      <c r="I46" s="230"/>
      <c r="J46" s="13"/>
    </row>
    <row r="47" spans="5:18" s="61" customFormat="1" ht="15" customHeight="1">
      <c r="E47" s="183" t="s">
        <v>64</v>
      </c>
      <c r="F47" s="224">
        <v>145000</v>
      </c>
      <c r="G47" s="9"/>
      <c r="H47" s="165"/>
      <c r="I47" s="230"/>
      <c r="J47" s="13"/>
    </row>
    <row r="48" spans="5:18" s="61" customFormat="1" ht="15" customHeight="1">
      <c r="E48" s="183" t="s">
        <v>116</v>
      </c>
      <c r="F48" s="224">
        <v>36000</v>
      </c>
      <c r="G48" s="9"/>
      <c r="H48" s="165"/>
      <c r="I48" s="230"/>
      <c r="J48" s="13"/>
    </row>
    <row r="49" spans="5:13" s="61" customFormat="1" ht="15" customHeight="1">
      <c r="E49" s="116" t="s">
        <v>24</v>
      </c>
      <c r="F49" s="220">
        <v>0</v>
      </c>
      <c r="G49" s="9"/>
      <c r="H49" s="165"/>
      <c r="I49" s="230"/>
      <c r="J49" s="13"/>
    </row>
    <row r="50" spans="5:13" s="61" customFormat="1">
      <c r="E50" s="116" t="s">
        <v>22</v>
      </c>
      <c r="F50" s="220">
        <v>50000</v>
      </c>
      <c r="G50" s="8"/>
      <c r="H50" s="91"/>
      <c r="I50" s="231"/>
      <c r="J50" s="13"/>
    </row>
    <row r="51" spans="5:13" s="61" customFormat="1">
      <c r="E51" s="116" t="s">
        <v>346</v>
      </c>
      <c r="F51" s="220">
        <v>50000</v>
      </c>
      <c r="G51" s="8"/>
      <c r="H51" s="96"/>
      <c r="I51" s="231"/>
      <c r="J51" s="262"/>
    </row>
    <row r="52" spans="5:13" s="61" customFormat="1">
      <c r="E52" s="116" t="s">
        <v>347</v>
      </c>
      <c r="F52" s="220">
        <v>0</v>
      </c>
      <c r="G52" s="8"/>
      <c r="H52" s="96"/>
      <c r="I52" s="231"/>
      <c r="J52" s="262"/>
    </row>
    <row r="53" spans="5:13" s="61" customFormat="1">
      <c r="E53" s="116" t="s">
        <v>53</v>
      </c>
      <c r="F53" s="220">
        <v>0</v>
      </c>
      <c r="G53" s="8"/>
      <c r="H53" s="96"/>
      <c r="I53" s="231"/>
      <c r="J53" s="262"/>
    </row>
    <row r="54" spans="5:13" s="61" customFormat="1">
      <c r="E54" s="116" t="s">
        <v>40</v>
      </c>
      <c r="F54" s="226">
        <f>180000-70000</f>
        <v>110000</v>
      </c>
      <c r="G54" s="8"/>
      <c r="H54" s="96"/>
      <c r="I54" s="231"/>
      <c r="J54" s="262"/>
    </row>
    <row r="55" spans="5:13" s="61" customFormat="1">
      <c r="E55" s="118" t="s">
        <v>41</v>
      </c>
      <c r="F55" s="225">
        <f>SUM(F44:F54)</f>
        <v>548000</v>
      </c>
      <c r="G55" s="82"/>
      <c r="H55" s="83"/>
      <c r="I55" s="228"/>
      <c r="J55" s="13"/>
    </row>
    <row r="56" spans="5:13" s="61" customFormat="1">
      <c r="E56" s="118" t="s">
        <v>42</v>
      </c>
      <c r="F56" s="225">
        <f>F42-F55</f>
        <v>272998.32999999984</v>
      </c>
      <c r="G56" s="82"/>
      <c r="H56" s="83"/>
      <c r="I56" s="233"/>
      <c r="J56" s="13"/>
      <c r="L56" s="91"/>
      <c r="M56" s="232"/>
    </row>
    <row r="57" spans="5:13" s="61" customFormat="1">
      <c r="E57" s="8"/>
      <c r="F57" s="154"/>
      <c r="G57" s="82"/>
      <c r="H57" s="83"/>
      <c r="I57" s="233"/>
      <c r="J57" s="13"/>
      <c r="L57" s="91"/>
      <c r="M57" s="232"/>
    </row>
    <row r="58" spans="5:13" s="61" customFormat="1">
      <c r="E58" s="82" t="s">
        <v>43</v>
      </c>
      <c r="F58" s="80">
        <f>43800+180000</f>
        <v>223800</v>
      </c>
      <c r="G58" s="82"/>
      <c r="H58" s="83"/>
      <c r="I58" s="233"/>
      <c r="J58" s="13"/>
      <c r="L58" s="96"/>
      <c r="M58" s="231"/>
    </row>
    <row r="59" spans="5:13" s="61" customFormat="1">
      <c r="E59" s="82" t="s">
        <v>44</v>
      </c>
      <c r="F59" s="80">
        <v>365000</v>
      </c>
      <c r="G59" s="82"/>
      <c r="H59" s="96"/>
      <c r="I59" s="228"/>
      <c r="J59" s="13"/>
      <c r="L59" s="96"/>
      <c r="M59" s="233"/>
    </row>
    <row r="60" spans="5:13" s="61" customFormat="1">
      <c r="E60" s="82" t="s">
        <v>45</v>
      </c>
      <c r="F60" s="117">
        <v>0</v>
      </c>
      <c r="G60" s="82"/>
      <c r="H60" s="83"/>
      <c r="I60" s="233"/>
      <c r="J60" s="13"/>
    </row>
    <row r="61" spans="5:13" s="61" customFormat="1">
      <c r="E61" s="82" t="s">
        <v>205</v>
      </c>
      <c r="F61" s="117">
        <v>0</v>
      </c>
      <c r="G61"/>
      <c r="H61" s="96"/>
      <c r="I61" s="219"/>
      <c r="J61" s="13"/>
      <c r="L61" s="83"/>
      <c r="M61" s="228"/>
    </row>
    <row r="62" spans="5:13">
      <c r="E62" s="82" t="s">
        <v>206</v>
      </c>
      <c r="F62" s="117">
        <v>0</v>
      </c>
      <c r="H62" s="61"/>
      <c r="I62" s="61"/>
      <c r="J62" s="13"/>
      <c r="K62" s="61"/>
      <c r="L62" s="61"/>
      <c r="M62" s="61"/>
    </row>
    <row r="63" spans="5:13">
      <c r="E63" s="118" t="s">
        <v>46</v>
      </c>
      <c r="F63" s="120">
        <f>SUM(F58:F62)</f>
        <v>588800</v>
      </c>
      <c r="H63" s="61"/>
      <c r="I63" s="61"/>
      <c r="J63" s="13"/>
      <c r="K63" s="61"/>
      <c r="L63" s="61"/>
      <c r="M63" s="61"/>
    </row>
    <row r="64" spans="5:13">
      <c r="E64" s="82"/>
      <c r="F64" s="80"/>
    </row>
    <row r="65" spans="1:7">
      <c r="E65" s="118" t="s">
        <v>47</v>
      </c>
      <c r="F65" s="120">
        <f>F56-F63</f>
        <v>-315801.67000000016</v>
      </c>
      <c r="G65" s="8"/>
    </row>
    <row r="66" spans="1:7">
      <c r="D66" s="247" t="s">
        <v>192</v>
      </c>
      <c r="E66" s="8"/>
      <c r="F66" s="220"/>
      <c r="G66" s="8"/>
    </row>
    <row r="67" spans="1:7">
      <c r="D67" s="247" t="s">
        <v>194</v>
      </c>
      <c r="E67" s="8"/>
      <c r="F67" s="220"/>
      <c r="G67" s="8"/>
    </row>
    <row r="68" spans="1:7">
      <c r="D68" s="8" t="s">
        <v>9</v>
      </c>
      <c r="E68" s="8"/>
      <c r="F68" s="220"/>
      <c r="G68" s="8"/>
    </row>
    <row r="69" spans="1:7">
      <c r="D69" s="8" t="s">
        <v>195</v>
      </c>
      <c r="E69" s="8"/>
      <c r="F69" s="220"/>
      <c r="G69" s="124">
        <f>SUM(E75:F75)</f>
        <v>0</v>
      </c>
    </row>
    <row r="70" spans="1:7">
      <c r="D70" s="8" t="s">
        <v>188</v>
      </c>
      <c r="E70" s="247"/>
      <c r="F70" s="243"/>
      <c r="G70" s="8"/>
    </row>
    <row r="71" spans="1:7">
      <c r="D71" s="8"/>
      <c r="E71" s="247"/>
      <c r="F71" s="244"/>
    </row>
    <row r="72" spans="1:7">
      <c r="E72" s="249"/>
      <c r="F72" s="246"/>
    </row>
    <row r="73" spans="1:7">
      <c r="E73" s="249"/>
      <c r="F73" s="287"/>
    </row>
    <row r="74" spans="1:7">
      <c r="E74" s="249"/>
      <c r="F74" s="287"/>
    </row>
    <row r="75" spans="1:7">
      <c r="E75" s="124"/>
      <c r="F75" s="287"/>
    </row>
    <row r="76" spans="1:7">
      <c r="E76" s="8"/>
    </row>
    <row r="77" spans="1:7">
      <c r="A77" s="268"/>
      <c r="E77" s="8"/>
    </row>
    <row r="78" spans="1:7">
      <c r="E78" s="8"/>
    </row>
    <row r="79" spans="1:7">
      <c r="E79" s="8"/>
    </row>
    <row r="80" spans="1:7">
      <c r="B80" s="235"/>
      <c r="E80" s="8"/>
    </row>
    <row r="81" spans="1:5">
      <c r="E81" s="8"/>
    </row>
    <row r="82" spans="1:5">
      <c r="E82" s="293"/>
    </row>
    <row r="83" spans="1:5">
      <c r="A83" s="269"/>
      <c r="C83" s="155"/>
      <c r="E83" s="8"/>
    </row>
    <row r="84" spans="1:5">
      <c r="E84" s="293"/>
    </row>
    <row r="85" spans="1:5">
      <c r="A85" s="269"/>
      <c r="C85" s="155"/>
      <c r="E85" s="8"/>
    </row>
    <row r="86" spans="1:5">
      <c r="E86" s="293"/>
    </row>
    <row r="87" spans="1:5">
      <c r="A87" s="269"/>
      <c r="C87" s="155"/>
      <c r="E87" s="8"/>
    </row>
    <row r="88" spans="1:5">
      <c r="E88" s="293"/>
    </row>
    <row r="89" spans="1:5">
      <c r="A89" s="269"/>
      <c r="C89" s="155"/>
      <c r="E89" s="8"/>
    </row>
    <row r="90" spans="1:5">
      <c r="E90" s="293"/>
    </row>
    <row r="91" spans="1:5">
      <c r="A91" s="269"/>
      <c r="C91" s="155"/>
      <c r="E91" s="8"/>
    </row>
    <row r="92" spans="1:5">
      <c r="E92" s="293"/>
    </row>
    <row r="93" spans="1:5">
      <c r="A93" s="269"/>
      <c r="C93" s="155"/>
      <c r="E93" s="8"/>
    </row>
    <row r="94" spans="1:5">
      <c r="E94" s="293"/>
    </row>
    <row r="95" spans="1:5">
      <c r="A95" s="269"/>
      <c r="C95" s="155"/>
      <c r="E95" s="8"/>
    </row>
    <row r="96" spans="1:5">
      <c r="E96" s="293"/>
    </row>
    <row r="97" spans="1:5">
      <c r="A97" s="269"/>
      <c r="C97" s="155"/>
      <c r="E97" s="8"/>
    </row>
    <row r="98" spans="1:5">
      <c r="E98" s="293"/>
    </row>
    <row r="99" spans="1:5">
      <c r="A99" s="269"/>
      <c r="C99" s="155"/>
      <c r="E99" s="8"/>
    </row>
    <row r="100" spans="1:5">
      <c r="E100" s="293"/>
    </row>
    <row r="101" spans="1:5">
      <c r="A101" s="269"/>
      <c r="C101" s="155"/>
      <c r="E101" s="8"/>
    </row>
    <row r="102" spans="1:5">
      <c r="E102" s="293"/>
    </row>
    <row r="103" spans="1:5">
      <c r="A103" s="269"/>
      <c r="C103" s="155"/>
      <c r="E103" s="8"/>
    </row>
    <row r="104" spans="1:5">
      <c r="E104" s="293"/>
    </row>
    <row r="105" spans="1:5">
      <c r="A105" s="269"/>
      <c r="C105" s="155"/>
      <c r="E105" s="8"/>
    </row>
    <row r="106" spans="1:5">
      <c r="E106" s="293"/>
    </row>
    <row r="107" spans="1:5">
      <c r="A107" s="269"/>
      <c r="C107" s="155"/>
      <c r="E107" s="8"/>
    </row>
    <row r="108" spans="1:5">
      <c r="E108" s="293"/>
    </row>
    <row r="109" spans="1:5">
      <c r="A109" s="269"/>
      <c r="C109" s="155"/>
      <c r="E109" s="8"/>
    </row>
    <row r="110" spans="1:5">
      <c r="E110" s="293"/>
    </row>
    <row r="111" spans="1:5">
      <c r="A111" s="269"/>
      <c r="C111" s="155"/>
      <c r="E111" s="8"/>
    </row>
    <row r="112" spans="1:5">
      <c r="E112" s="293"/>
    </row>
    <row r="113" spans="1:5">
      <c r="A113" s="269"/>
      <c r="C113" s="155"/>
      <c r="E113" s="8"/>
    </row>
    <row r="114" spans="1:5">
      <c r="E114" s="277"/>
    </row>
    <row r="115" spans="1:5">
      <c r="A115" s="269"/>
      <c r="C115" s="155"/>
      <c r="E115" s="79"/>
    </row>
    <row r="116" spans="1:5">
      <c r="E116" s="277"/>
    </row>
    <row r="117" spans="1:5">
      <c r="A117" s="269"/>
      <c r="C117" s="155"/>
      <c r="E117" s="79"/>
    </row>
    <row r="118" spans="1:5">
      <c r="E118" s="277"/>
    </row>
    <row r="119" spans="1:5">
      <c r="A119" s="269"/>
      <c r="C119" s="155"/>
      <c r="E119" s="79"/>
    </row>
    <row r="120" spans="1:5">
      <c r="E120" s="277"/>
    </row>
    <row r="121" spans="1:5">
      <c r="A121" s="269"/>
      <c r="C121" s="155"/>
      <c r="E121" s="79"/>
    </row>
    <row r="122" spans="1:5">
      <c r="E122" s="277"/>
    </row>
    <row r="123" spans="1:5">
      <c r="A123" s="269"/>
      <c r="C123" s="155"/>
      <c r="E123" s="79"/>
    </row>
    <row r="124" spans="1:5">
      <c r="E124" s="277"/>
    </row>
    <row r="125" spans="1:5">
      <c r="A125" s="269"/>
      <c r="C125" s="155"/>
      <c r="E125" s="79"/>
    </row>
    <row r="126" spans="1:5">
      <c r="E126" s="277"/>
    </row>
    <row r="127" spans="1:5">
      <c r="A127" s="269"/>
      <c r="C127" s="155"/>
    </row>
    <row r="128" spans="1:5">
      <c r="E128" s="155"/>
    </row>
    <row r="129" spans="1:5">
      <c r="A129" s="269"/>
      <c r="C129" s="155"/>
    </row>
    <row r="130" spans="1:5">
      <c r="E130" s="155"/>
    </row>
    <row r="131" spans="1:5">
      <c r="A131" s="269"/>
      <c r="C131" s="155"/>
    </row>
    <row r="132" spans="1:5">
      <c r="E132" s="155"/>
    </row>
    <row r="133" spans="1:5">
      <c r="A133" s="269"/>
      <c r="C133" s="155"/>
    </row>
    <row r="134" spans="1:5">
      <c r="E134" s="155"/>
    </row>
    <row r="135" spans="1:5">
      <c r="A135" s="269"/>
      <c r="C135" s="155"/>
    </row>
    <row r="136" spans="1:5">
      <c r="E136" s="155"/>
    </row>
    <row r="137" spans="1:5">
      <c r="A137" s="269"/>
      <c r="C137" s="155"/>
    </row>
    <row r="138" spans="1:5">
      <c r="E138" s="155"/>
    </row>
    <row r="139" spans="1:5">
      <c r="A139" s="269"/>
      <c r="C139" s="155"/>
    </row>
    <row r="140" spans="1:5">
      <c r="E140" s="155"/>
    </row>
    <row r="141" spans="1:5">
      <c r="A141" s="269"/>
      <c r="C141" s="155"/>
    </row>
    <row r="142" spans="1:5">
      <c r="E142" s="155"/>
    </row>
    <row r="143" spans="1:5">
      <c r="A143" s="269"/>
      <c r="C143" s="155"/>
    </row>
    <row r="144" spans="1:5">
      <c r="E144" s="155"/>
    </row>
    <row r="145" spans="1:5">
      <c r="A145" s="269"/>
      <c r="C145" s="155"/>
    </row>
    <row r="146" spans="1:5">
      <c r="E146" s="155"/>
    </row>
    <row r="147" spans="1:5">
      <c r="A147" s="269"/>
      <c r="C147" s="155"/>
    </row>
    <row r="148" spans="1:5">
      <c r="E148" s="155"/>
    </row>
    <row r="149" spans="1:5">
      <c r="A149" s="269"/>
      <c r="C149" s="155"/>
    </row>
    <row r="150" spans="1:5">
      <c r="E150" s="155"/>
    </row>
    <row r="151" spans="1:5">
      <c r="A151" s="269"/>
      <c r="C151" s="155"/>
    </row>
    <row r="152" spans="1:5">
      <c r="E152" s="155"/>
    </row>
    <row r="153" spans="1:5">
      <c r="A153" s="269"/>
      <c r="C153" s="155"/>
    </row>
    <row r="154" spans="1:5">
      <c r="E154" s="155"/>
    </row>
    <row r="155" spans="1:5">
      <c r="A155" s="269"/>
      <c r="C155" s="155"/>
    </row>
    <row r="156" spans="1:5">
      <c r="E156" s="155"/>
    </row>
    <row r="157" spans="1:5">
      <c r="A157" s="269"/>
      <c r="C157" s="155"/>
    </row>
    <row r="158" spans="1:5">
      <c r="E158" s="155"/>
    </row>
    <row r="159" spans="1:5">
      <c r="A159" s="269"/>
      <c r="C159" s="155"/>
    </row>
    <row r="160" spans="1:5">
      <c r="E160" s="155"/>
    </row>
    <row r="161" spans="1:5">
      <c r="A161" s="269"/>
      <c r="C161" s="155"/>
    </row>
    <row r="162" spans="1:5">
      <c r="E162" s="155"/>
    </row>
    <row r="163" spans="1:5">
      <c r="A163" s="269"/>
      <c r="C163" s="155"/>
    </row>
    <row r="164" spans="1:5">
      <c r="E164" s="155"/>
    </row>
    <row r="165" spans="1:5">
      <c r="A165" s="269"/>
      <c r="C165" s="155"/>
    </row>
    <row r="166" spans="1:5">
      <c r="E166" s="155"/>
    </row>
    <row r="167" spans="1:5">
      <c r="A167" s="269"/>
      <c r="C167" s="155"/>
    </row>
    <row r="168" spans="1:5">
      <c r="E168" s="155"/>
    </row>
    <row r="169" spans="1:5">
      <c r="A169" s="269"/>
      <c r="C169" s="155"/>
    </row>
    <row r="170" spans="1:5">
      <c r="E170" s="155"/>
    </row>
    <row r="171" spans="1:5">
      <c r="A171" s="269"/>
      <c r="C171" s="155"/>
    </row>
    <row r="172" spans="1:5">
      <c r="E172" s="155"/>
    </row>
    <row r="173" spans="1:5">
      <c r="A173" s="269"/>
      <c r="C173" s="155"/>
    </row>
    <row r="174" spans="1:5">
      <c r="E174" s="155"/>
    </row>
    <row r="175" spans="1:5">
      <c r="A175" s="269"/>
      <c r="C175" s="155"/>
    </row>
    <row r="176" spans="1:5">
      <c r="E176" s="155"/>
    </row>
    <row r="177" spans="1:5">
      <c r="A177" s="269"/>
      <c r="C177" s="155"/>
    </row>
    <row r="178" spans="1:5">
      <c r="E178" s="155"/>
    </row>
    <row r="179" spans="1:5">
      <c r="A179" s="269"/>
      <c r="C179" s="155"/>
    </row>
    <row r="180" spans="1:5">
      <c r="E180" s="155"/>
    </row>
    <row r="181" spans="1:5">
      <c r="A181" s="269"/>
      <c r="C181" s="155"/>
    </row>
    <row r="182" spans="1:5">
      <c r="E182" s="155"/>
    </row>
    <row r="183" spans="1:5">
      <c r="A183" s="269"/>
      <c r="C183" s="155"/>
    </row>
    <row r="184" spans="1:5">
      <c r="E184" s="155"/>
    </row>
    <row r="185" spans="1:5">
      <c r="A185" s="269"/>
      <c r="C185" s="155"/>
    </row>
    <row r="186" spans="1:5">
      <c r="E186" s="155"/>
    </row>
    <row r="187" spans="1:5">
      <c r="A187" s="269"/>
      <c r="C187" s="155"/>
    </row>
    <row r="188" spans="1:5">
      <c r="E188" s="155"/>
    </row>
    <row r="189" spans="1:5">
      <c r="A189" s="269"/>
      <c r="C189" s="155"/>
    </row>
    <row r="190" spans="1:5">
      <c r="E190" s="155"/>
    </row>
    <row r="191" spans="1:5">
      <c r="A191" s="269"/>
      <c r="C191" s="155"/>
    </row>
    <row r="192" spans="1:5">
      <c r="E192" s="155"/>
    </row>
    <row r="193" spans="1:5">
      <c r="A193" s="269"/>
      <c r="C193" s="155"/>
    </row>
    <row r="194" spans="1:5">
      <c r="E194" s="155"/>
    </row>
    <row r="195" spans="1:5">
      <c r="A195" s="269"/>
      <c r="C195" s="155"/>
    </row>
    <row r="196" spans="1:5">
      <c r="E196" s="155"/>
    </row>
    <row r="197" spans="1:5">
      <c r="A197" s="269"/>
      <c r="C197" s="155"/>
    </row>
    <row r="198" spans="1:5">
      <c r="E198" s="155"/>
    </row>
    <row r="199" spans="1:5">
      <c r="A199" s="269"/>
      <c r="C199" s="155"/>
    </row>
    <row r="200" spans="1:5">
      <c r="E200" s="155"/>
    </row>
    <row r="201" spans="1:5">
      <c r="A201" s="269"/>
      <c r="C201" s="155"/>
    </row>
    <row r="202" spans="1:5">
      <c r="E202" s="155"/>
    </row>
    <row r="203" spans="1:5">
      <c r="A203" s="269"/>
      <c r="D203" s="155"/>
    </row>
    <row r="204" spans="1:5">
      <c r="E204" s="155"/>
    </row>
    <row r="205" spans="1:5">
      <c r="A205" s="269"/>
      <c r="C205" s="155"/>
    </row>
    <row r="206" spans="1:5">
      <c r="E206" s="155"/>
    </row>
    <row r="207" spans="1:5">
      <c r="A207" s="269"/>
      <c r="C207" s="155"/>
    </row>
    <row r="208" spans="1:5">
      <c r="E208" s="155"/>
    </row>
    <row r="209" spans="1:5">
      <c r="A209" s="269"/>
      <c r="C209" s="155"/>
    </row>
    <row r="210" spans="1:5">
      <c r="E210" s="155"/>
    </row>
    <row r="211" spans="1:5">
      <c r="A211" s="269"/>
      <c r="C211" s="155"/>
    </row>
    <row r="212" spans="1:5">
      <c r="E212" s="155"/>
    </row>
    <row r="213" spans="1:5">
      <c r="A213" s="269"/>
      <c r="C213" s="155"/>
    </row>
  </sheetData>
  <mergeCells count="16"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836D2-7321-44CC-8D58-CCCEBDB2C46E}">
  <dimension ref="A6:R213"/>
  <sheetViews>
    <sheetView showGridLines="0" topLeftCell="A20" workbookViewId="0">
      <selection activeCell="A20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34" t="s">
        <v>3</v>
      </c>
      <c r="C14" s="335"/>
      <c r="D14" s="336"/>
      <c r="E14" s="17">
        <f>SUM(E15:E17)</f>
        <v>853303.86999999988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37" t="s">
        <v>5</v>
      </c>
      <c r="C15" s="338"/>
      <c r="D15" s="339"/>
      <c r="E15" s="20">
        <f>J16+J17+J18+J19</f>
        <v>740990.6399999999</v>
      </c>
      <c r="F15" s="153">
        <f>E15+E16+E17</f>
        <v>853303.86999999988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349" t="s">
        <v>7</v>
      </c>
      <c r="C16" s="350"/>
      <c r="D16" s="351"/>
      <c r="E16" s="20">
        <f>G22+G23</f>
        <v>35325.300000000003</v>
      </c>
      <c r="F16" s="153">
        <v>90000</v>
      </c>
      <c r="G16" s="22">
        <v>6902.52</v>
      </c>
      <c r="H16" s="23" t="s">
        <v>8</v>
      </c>
      <c r="I16" s="24"/>
      <c r="J16" s="25">
        <v>37505.32</v>
      </c>
      <c r="K16" s="26" t="s">
        <v>9</v>
      </c>
      <c r="L16" s="13"/>
      <c r="N16" s="3"/>
    </row>
    <row r="17" spans="2:18">
      <c r="B17" s="352" t="s">
        <v>6</v>
      </c>
      <c r="C17" s="353"/>
      <c r="D17" s="354"/>
      <c r="E17" s="28">
        <f>G16+G17+G18</f>
        <v>76987.929999999993</v>
      </c>
      <c r="F17" s="153">
        <f>+F15-F16</f>
        <v>763303.86999999988</v>
      </c>
      <c r="G17" s="22">
        <v>35881.29</v>
      </c>
      <c r="H17" s="29" t="s">
        <v>10</v>
      </c>
      <c r="I17" s="30"/>
      <c r="J17" s="25">
        <v>359801.55</v>
      </c>
      <c r="K17" s="31" t="s">
        <v>10</v>
      </c>
      <c r="N17" s="3"/>
    </row>
    <row r="18" spans="2:18">
      <c r="B18" s="236" t="s">
        <v>187</v>
      </c>
      <c r="C18" s="237"/>
      <c r="D18" s="238"/>
      <c r="E18" s="28">
        <f>+J22</f>
        <v>14541.8</v>
      </c>
      <c r="F18" s="153"/>
      <c r="G18" s="22">
        <v>34204.120000000003</v>
      </c>
      <c r="H18" s="29" t="s">
        <v>12</v>
      </c>
      <c r="I18" s="30"/>
      <c r="J18" s="25">
        <v>77352.17</v>
      </c>
      <c r="K18" s="31" t="s">
        <v>12</v>
      </c>
      <c r="L18" s="152"/>
      <c r="N18" s="3"/>
    </row>
    <row r="19" spans="2:18">
      <c r="B19" s="379" t="s">
        <v>11</v>
      </c>
      <c r="C19" s="380"/>
      <c r="D19" s="381"/>
      <c r="E19" s="20">
        <f>G29+G31+G30+G28</f>
        <v>337238.07000000007</v>
      </c>
      <c r="F19" s="153"/>
      <c r="G19" s="33"/>
      <c r="H19" s="34"/>
      <c r="I19" s="30"/>
      <c r="J19" s="25">
        <v>266331.59999999998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14978586.029999999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SUM(E22:E24)</f>
        <v>351479.28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120</v>
      </c>
      <c r="E22" s="190">
        <v>58672.55</v>
      </c>
      <c r="F22" s="153"/>
      <c r="G22" s="44">
        <v>11218.04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187"/>
      <c r="C23" s="188"/>
      <c r="D23" s="198" t="s">
        <v>120</v>
      </c>
      <c r="E23" s="190">
        <v>12984.48</v>
      </c>
      <c r="F23" s="153"/>
      <c r="G23" s="44">
        <v>24107.26</v>
      </c>
      <c r="H23" s="29" t="s">
        <v>18</v>
      </c>
      <c r="I23" s="30"/>
      <c r="J23" s="25"/>
      <c r="K23" s="31"/>
    </row>
    <row r="24" spans="2:18" ht="15" thickBot="1">
      <c r="B24" s="206"/>
      <c r="C24" s="205"/>
      <c r="D24" s="208" t="s">
        <v>120</v>
      </c>
      <c r="E24" s="190">
        <v>279822.25</v>
      </c>
      <c r="F24" s="220"/>
      <c r="G24" s="51"/>
      <c r="H24" s="34"/>
      <c r="I24" s="30"/>
      <c r="J24" s="210"/>
      <c r="K24" s="53"/>
      <c r="N24" s="290"/>
    </row>
    <row r="25" spans="2:18" ht="15" thickBot="1">
      <c r="B25" s="46" t="s">
        <v>17</v>
      </c>
      <c r="C25" s="47"/>
      <c r="D25" s="48"/>
      <c r="E25" s="234">
        <f>169.36+45000</f>
        <v>45169.36</v>
      </c>
      <c r="F25" s="153">
        <f>+F17-E25</f>
        <v>718134.50999999989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202" t="s">
        <v>349</v>
      </c>
      <c r="C26" s="203"/>
      <c r="D26" s="204"/>
      <c r="E26" s="234">
        <v>0</v>
      </c>
      <c r="F26" s="288">
        <f>SUM(E25:E31)</f>
        <v>111169.36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116</v>
      </c>
      <c r="C27" s="200"/>
      <c r="D27" s="201"/>
      <c r="E27" s="49">
        <v>36000</v>
      </c>
      <c r="F27" s="153">
        <f>+F25-F26</f>
        <v>606965.14999999991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199" t="s">
        <v>81</v>
      </c>
      <c r="C28" s="200"/>
      <c r="D28" s="201"/>
      <c r="E28" s="49">
        <v>0</v>
      </c>
      <c r="F28" s="221"/>
      <c r="G28" s="22">
        <f>24025.25-11500-8500</f>
        <v>4025.25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64</v>
      </c>
      <c r="C29" s="200"/>
      <c r="D29" s="201"/>
      <c r="E29" s="49">
        <v>30000</v>
      </c>
      <c r="F29" s="220"/>
      <c r="G29" s="22">
        <f>476673.77- 154326.09</f>
        <v>322347.68000000005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344" t="s">
        <v>25</v>
      </c>
      <c r="C30" s="345"/>
      <c r="D30" s="346"/>
      <c r="E30" s="49">
        <v>0</v>
      </c>
      <c r="F30" s="220"/>
      <c r="G30" s="67">
        <v>1751.9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63" t="s">
        <v>29</v>
      </c>
      <c r="C31" s="364"/>
      <c r="D31" s="365"/>
      <c r="E31" s="66">
        <v>0</v>
      </c>
      <c r="F31" s="220"/>
      <c r="G31" s="71">
        <f>401368.88-392255.64</f>
        <v>9113.2399999999907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61"/>
      <c r="F32" s="220"/>
      <c r="N32" s="269"/>
      <c r="P32" s="155"/>
      <c r="R32" s="155"/>
    </row>
    <row r="33" spans="5:18">
      <c r="E33" s="61"/>
      <c r="F33" s="220"/>
    </row>
    <row r="34" spans="5:18">
      <c r="E34" s="61"/>
      <c r="F34" s="220"/>
      <c r="H34" s="61"/>
      <c r="I34" s="61"/>
      <c r="J34" s="13"/>
      <c r="K34" s="61"/>
      <c r="L34" s="61"/>
      <c r="M34" s="61"/>
      <c r="N34" s="269"/>
      <c r="P34" s="155"/>
      <c r="R34" s="155"/>
    </row>
    <row r="35" spans="5:18">
      <c r="E35" s="8"/>
      <c r="F35" s="220"/>
      <c r="H35" s="61"/>
      <c r="I35" s="61"/>
      <c r="J35" s="13"/>
      <c r="K35" s="61"/>
      <c r="L35" s="61"/>
      <c r="M35" s="61"/>
    </row>
    <row r="36" spans="5:18" s="61" customFormat="1" ht="15" customHeight="1">
      <c r="E36" s="181" t="s">
        <v>353</v>
      </c>
      <c r="F36" s="222"/>
      <c r="G36" s="8"/>
      <c r="H36" s="13"/>
      <c r="J36" s="13"/>
      <c r="K36" s="83"/>
      <c r="L36" s="88"/>
      <c r="N36" s="272"/>
      <c r="P36" s="273"/>
      <c r="R36" s="273"/>
    </row>
    <row r="37" spans="5:18" s="61" customFormat="1" ht="15" customHeight="1">
      <c r="E37" s="181"/>
      <c r="F37" s="222"/>
      <c r="G37" s="181"/>
      <c r="H37" s="161"/>
      <c r="I37" s="197"/>
      <c r="J37" s="13"/>
      <c r="K37" s="83"/>
      <c r="L37" s="161"/>
      <c r="M37" s="197"/>
    </row>
    <row r="38" spans="5:18" s="61" customFormat="1" ht="15" customHeight="1">
      <c r="E38" s="8" t="s">
        <v>34</v>
      </c>
      <c r="F38" s="222">
        <f>F17</f>
        <v>763303.86999999988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5:18" s="61" customFormat="1" ht="15" customHeight="1">
      <c r="E39" s="8" t="s">
        <v>35</v>
      </c>
      <c r="F39" s="222">
        <f>+E19</f>
        <v>337238.07000000007</v>
      </c>
      <c r="G39" s="86"/>
      <c r="I39" s="197"/>
      <c r="J39" s="13"/>
      <c r="K39" s="85"/>
      <c r="M39" s="197"/>
    </row>
    <row r="40" spans="5:18" s="61" customFormat="1" ht="15" customHeight="1">
      <c r="E40" s="8" t="s">
        <v>36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5:18" s="61" customFormat="1" ht="15" customHeight="1">
      <c r="E41" s="8" t="s">
        <v>37</v>
      </c>
      <c r="F41" s="222">
        <v>0</v>
      </c>
      <c r="G41" s="9"/>
      <c r="I41" s="197"/>
      <c r="J41" s="13"/>
      <c r="M41" s="197"/>
    </row>
    <row r="42" spans="5:18" s="61" customFormat="1" ht="15" customHeight="1">
      <c r="E42" s="182" t="s">
        <v>38</v>
      </c>
      <c r="F42" s="223">
        <f>SUM(F38:F41)</f>
        <v>1100541.94</v>
      </c>
      <c r="G42" s="9"/>
      <c r="I42" s="197"/>
      <c r="J42" s="13"/>
      <c r="M42" s="197"/>
      <c r="N42" s="272"/>
      <c r="P42" s="273"/>
      <c r="R42" s="273"/>
    </row>
    <row r="43" spans="5:18" s="61" customFormat="1" ht="15" customHeight="1">
      <c r="E43" s="183"/>
      <c r="F43" s="224"/>
      <c r="G43" s="9"/>
      <c r="H43" s="163"/>
      <c r="I43" s="229"/>
      <c r="J43" s="13"/>
      <c r="L43" s="163"/>
      <c r="M43" s="229"/>
    </row>
    <row r="44" spans="5:18" s="61" customFormat="1" ht="15" customHeight="1">
      <c r="E44" s="183" t="s">
        <v>152</v>
      </c>
      <c r="F44" s="224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5:18" s="61" customFormat="1" ht="15" customHeight="1">
      <c r="E45" s="183" t="s">
        <v>180</v>
      </c>
      <c r="F45" s="224">
        <v>7229064578</v>
      </c>
      <c r="G45" s="9"/>
      <c r="H45" s="165"/>
      <c r="I45" s="230"/>
      <c r="J45" s="13"/>
    </row>
    <row r="46" spans="5:18" s="61" customFormat="1" ht="15" customHeight="1">
      <c r="E46" s="183" t="s">
        <v>52</v>
      </c>
      <c r="F46" s="224">
        <v>32000</v>
      </c>
      <c r="G46" s="9"/>
      <c r="H46" s="165"/>
      <c r="I46" s="230"/>
      <c r="J46" s="13"/>
    </row>
    <row r="47" spans="5:18" s="61" customFormat="1" ht="15" customHeight="1">
      <c r="E47" s="183" t="s">
        <v>64</v>
      </c>
      <c r="F47" s="224">
        <v>145000</v>
      </c>
      <c r="G47" s="9"/>
      <c r="H47" s="165"/>
      <c r="I47" s="230"/>
      <c r="J47" s="13"/>
    </row>
    <row r="48" spans="5:18" s="61" customFormat="1" ht="15" customHeight="1">
      <c r="E48" s="183" t="s">
        <v>116</v>
      </c>
      <c r="F48" s="224">
        <v>36000</v>
      </c>
      <c r="G48" s="9"/>
      <c r="H48" s="165"/>
      <c r="I48" s="230"/>
      <c r="J48" s="13"/>
    </row>
    <row r="49" spans="5:13" s="61" customFormat="1" ht="15" customHeight="1">
      <c r="E49" s="116" t="s">
        <v>24</v>
      </c>
      <c r="F49" s="220">
        <v>0</v>
      </c>
      <c r="G49" s="9"/>
      <c r="H49" s="165"/>
      <c r="I49" s="230"/>
      <c r="J49" s="13"/>
    </row>
    <row r="50" spans="5:13" s="61" customFormat="1">
      <c r="E50" s="116" t="s">
        <v>22</v>
      </c>
      <c r="F50" s="220">
        <v>50000</v>
      </c>
      <c r="G50" s="8"/>
      <c r="H50" s="91"/>
      <c r="I50" s="231"/>
      <c r="J50" s="13"/>
    </row>
    <row r="51" spans="5:13" s="61" customFormat="1">
      <c r="E51" s="116" t="s">
        <v>346</v>
      </c>
      <c r="F51" s="220">
        <v>50000</v>
      </c>
      <c r="G51" s="8"/>
      <c r="H51" s="96"/>
      <c r="I51" s="231"/>
      <c r="J51" s="262"/>
    </row>
    <row r="52" spans="5:13" s="61" customFormat="1">
      <c r="E52" s="116" t="s">
        <v>347</v>
      </c>
      <c r="F52" s="220">
        <v>0</v>
      </c>
      <c r="G52" s="8"/>
      <c r="H52" s="96"/>
      <c r="I52" s="231"/>
      <c r="J52" s="262"/>
    </row>
    <row r="53" spans="5:13" s="61" customFormat="1">
      <c r="E53" s="116" t="s">
        <v>53</v>
      </c>
      <c r="F53" s="220">
        <v>0</v>
      </c>
      <c r="G53" s="8"/>
      <c r="H53" s="96"/>
      <c r="I53" s="231"/>
      <c r="J53" s="262"/>
    </row>
    <row r="54" spans="5:13" s="61" customFormat="1">
      <c r="E54" s="116" t="s">
        <v>40</v>
      </c>
      <c r="F54" s="226">
        <f>180000-70000</f>
        <v>110000</v>
      </c>
      <c r="G54" s="8"/>
      <c r="H54" s="96"/>
      <c r="I54" s="231"/>
      <c r="J54" s="262"/>
    </row>
    <row r="55" spans="5:13" s="61" customFormat="1">
      <c r="E55" s="118" t="s">
        <v>41</v>
      </c>
      <c r="F55" s="225">
        <f>SUM(F44:F54)</f>
        <v>7229612578</v>
      </c>
      <c r="G55" s="82"/>
      <c r="H55" s="83"/>
      <c r="I55" s="228"/>
      <c r="J55" s="13"/>
    </row>
    <row r="56" spans="5:13" s="61" customFormat="1">
      <c r="E56" s="118" t="s">
        <v>42</v>
      </c>
      <c r="F56" s="225">
        <f>F42-F55</f>
        <v>-7228512036.0600004</v>
      </c>
      <c r="G56" s="82"/>
      <c r="H56" s="83"/>
      <c r="I56" s="233"/>
      <c r="J56" s="13"/>
      <c r="L56" s="91"/>
      <c r="M56" s="232"/>
    </row>
    <row r="57" spans="5:13" s="61" customFormat="1">
      <c r="E57" s="8"/>
      <c r="F57" s="154"/>
      <c r="G57" s="82"/>
      <c r="H57" s="83"/>
      <c r="I57" s="233"/>
      <c r="J57" s="13"/>
      <c r="L57" s="91"/>
      <c r="M57" s="232"/>
    </row>
    <row r="58" spans="5:13" s="61" customFormat="1">
      <c r="E58" s="82" t="s">
        <v>43</v>
      </c>
      <c r="F58" s="80">
        <f>43800+180000</f>
        <v>223800</v>
      </c>
      <c r="G58" s="82"/>
      <c r="H58" s="83"/>
      <c r="I58" s="233"/>
      <c r="J58" s="13"/>
      <c r="L58" s="96"/>
      <c r="M58" s="231"/>
    </row>
    <row r="59" spans="5:13" s="61" customFormat="1">
      <c r="E59" s="82" t="s">
        <v>44</v>
      </c>
      <c r="F59" s="80">
        <v>365000</v>
      </c>
      <c r="G59" s="82"/>
      <c r="H59" s="96"/>
      <c r="I59" s="228"/>
      <c r="J59" s="13"/>
      <c r="L59" s="96"/>
      <c r="M59" s="233"/>
    </row>
    <row r="60" spans="5:13" s="61" customFormat="1">
      <c r="E60" s="82" t="s">
        <v>45</v>
      </c>
      <c r="F60" s="117">
        <v>0</v>
      </c>
      <c r="G60" s="82"/>
      <c r="H60" s="83"/>
      <c r="I60" s="233"/>
      <c r="J60" s="13"/>
    </row>
    <row r="61" spans="5:13" s="61" customFormat="1">
      <c r="E61" s="82" t="s">
        <v>205</v>
      </c>
      <c r="F61" s="117">
        <v>0</v>
      </c>
      <c r="G61"/>
      <c r="H61" s="96"/>
      <c r="I61" s="219"/>
      <c r="J61" s="13"/>
      <c r="L61" s="83"/>
      <c r="M61" s="228"/>
    </row>
    <row r="62" spans="5:13">
      <c r="E62" s="82" t="s">
        <v>206</v>
      </c>
      <c r="F62" s="117">
        <v>0</v>
      </c>
      <c r="H62" s="61"/>
      <c r="I62" s="61"/>
      <c r="J62" s="13"/>
      <c r="K62" s="61"/>
      <c r="L62" s="61"/>
      <c r="M62" s="61"/>
    </row>
    <row r="63" spans="5:13">
      <c r="E63" s="118" t="s">
        <v>46</v>
      </c>
      <c r="F63" s="120">
        <f>SUM(F58:F62)</f>
        <v>588800</v>
      </c>
      <c r="H63" s="61"/>
      <c r="I63" s="61"/>
      <c r="J63" s="13"/>
      <c r="K63" s="61"/>
      <c r="L63" s="61"/>
      <c r="M63" s="61"/>
    </row>
    <row r="64" spans="5:13">
      <c r="E64" s="82"/>
      <c r="F64" s="80"/>
    </row>
    <row r="65" spans="1:7">
      <c r="E65" s="118" t="s">
        <v>47</v>
      </c>
      <c r="F65" s="120">
        <f>F56-F63</f>
        <v>-7229100836.0600004</v>
      </c>
      <c r="G65" s="8"/>
    </row>
    <row r="66" spans="1:7">
      <c r="D66" s="247" t="s">
        <v>192</v>
      </c>
      <c r="E66" s="8"/>
      <c r="F66" s="220"/>
      <c r="G66" s="8"/>
    </row>
    <row r="67" spans="1:7">
      <c r="D67" s="247" t="s">
        <v>194</v>
      </c>
      <c r="E67" s="8"/>
      <c r="F67" s="220"/>
      <c r="G67" s="8"/>
    </row>
    <row r="68" spans="1:7">
      <c r="D68" s="8" t="s">
        <v>9</v>
      </c>
      <c r="E68" s="8"/>
      <c r="F68" s="220"/>
      <c r="G68" s="8"/>
    </row>
    <row r="69" spans="1:7">
      <c r="D69" s="8" t="s">
        <v>195</v>
      </c>
      <c r="E69" s="8"/>
      <c r="F69" s="220"/>
      <c r="G69" s="124">
        <f>SUM(E75:F75)</f>
        <v>0</v>
      </c>
    </row>
    <row r="70" spans="1:7">
      <c r="D70" s="8" t="s">
        <v>188</v>
      </c>
      <c r="E70" s="247"/>
      <c r="F70" s="243"/>
      <c r="G70" s="8"/>
    </row>
    <row r="71" spans="1:7">
      <c r="D71" s="8"/>
      <c r="E71" s="247"/>
      <c r="F71" s="244"/>
    </row>
    <row r="72" spans="1:7">
      <c r="E72" s="249"/>
      <c r="F72" s="246"/>
    </row>
    <row r="73" spans="1:7">
      <c r="E73" s="249"/>
      <c r="F73" s="287"/>
    </row>
    <row r="74" spans="1:7">
      <c r="E74" s="249"/>
      <c r="F74" s="287"/>
    </row>
    <row r="75" spans="1:7">
      <c r="E75" s="124"/>
      <c r="F75" s="287"/>
    </row>
    <row r="76" spans="1:7">
      <c r="E76" s="8"/>
    </row>
    <row r="77" spans="1:7">
      <c r="A77" s="268"/>
      <c r="E77" s="8"/>
    </row>
    <row r="78" spans="1:7">
      <c r="E78" s="8"/>
    </row>
    <row r="79" spans="1:7">
      <c r="E79" s="8"/>
    </row>
    <row r="80" spans="1:7">
      <c r="B80" s="235"/>
      <c r="E80" s="8"/>
    </row>
    <row r="81" spans="1:5">
      <c r="E81" s="8"/>
    </row>
    <row r="82" spans="1:5">
      <c r="E82" s="293"/>
    </row>
    <row r="83" spans="1:5">
      <c r="A83" s="269"/>
      <c r="C83" s="155"/>
      <c r="E83" s="8"/>
    </row>
    <row r="84" spans="1:5">
      <c r="E84" s="293"/>
    </row>
    <row r="85" spans="1:5">
      <c r="A85" s="269"/>
      <c r="C85" s="155"/>
      <c r="E85" s="8"/>
    </row>
    <row r="86" spans="1:5">
      <c r="E86" s="293"/>
    </row>
    <row r="87" spans="1:5">
      <c r="A87" s="269"/>
      <c r="C87" s="155"/>
      <c r="E87" s="8"/>
    </row>
    <row r="88" spans="1:5">
      <c r="E88" s="293"/>
    </row>
    <row r="89" spans="1:5">
      <c r="A89" s="269"/>
      <c r="C89" s="155"/>
      <c r="E89" s="8"/>
    </row>
    <row r="90" spans="1:5">
      <c r="E90" s="293"/>
    </row>
    <row r="91" spans="1:5">
      <c r="A91" s="269"/>
      <c r="C91" s="155"/>
      <c r="E91" s="8"/>
    </row>
    <row r="92" spans="1:5">
      <c r="E92" s="293"/>
    </row>
    <row r="93" spans="1:5">
      <c r="A93" s="269"/>
      <c r="C93" s="155"/>
      <c r="E93" s="8"/>
    </row>
    <row r="94" spans="1:5">
      <c r="E94" s="293"/>
    </row>
    <row r="95" spans="1:5">
      <c r="A95" s="269"/>
      <c r="C95" s="155"/>
      <c r="E95" s="8"/>
    </row>
    <row r="96" spans="1:5">
      <c r="E96" s="293"/>
    </row>
    <row r="97" spans="1:5">
      <c r="A97" s="269"/>
      <c r="C97" s="155"/>
      <c r="E97" s="8"/>
    </row>
    <row r="98" spans="1:5">
      <c r="E98" s="293"/>
    </row>
    <row r="99" spans="1:5">
      <c r="A99" s="269"/>
      <c r="C99" s="155"/>
      <c r="E99" s="8"/>
    </row>
    <row r="100" spans="1:5">
      <c r="E100" s="293"/>
    </row>
    <row r="101" spans="1:5">
      <c r="A101" s="269"/>
      <c r="C101" s="155"/>
      <c r="E101" s="8"/>
    </row>
    <row r="102" spans="1:5">
      <c r="E102" s="293"/>
    </row>
    <row r="103" spans="1:5">
      <c r="A103" s="269"/>
      <c r="C103" s="155"/>
      <c r="E103" s="8"/>
    </row>
    <row r="104" spans="1:5">
      <c r="E104" s="293"/>
    </row>
    <row r="105" spans="1:5">
      <c r="A105" s="269"/>
      <c r="C105" s="155"/>
      <c r="E105" s="8"/>
    </row>
    <row r="106" spans="1:5">
      <c r="E106" s="293"/>
    </row>
    <row r="107" spans="1:5">
      <c r="A107" s="269"/>
      <c r="C107" s="155"/>
      <c r="E107" s="8"/>
    </row>
    <row r="108" spans="1:5">
      <c r="E108" s="293"/>
    </row>
    <row r="109" spans="1:5">
      <c r="A109" s="269"/>
      <c r="C109" s="155"/>
      <c r="E109" s="8"/>
    </row>
    <row r="110" spans="1:5">
      <c r="E110" s="293"/>
    </row>
    <row r="111" spans="1:5">
      <c r="A111" s="269"/>
      <c r="C111" s="155"/>
      <c r="E111" s="8"/>
    </row>
    <row r="112" spans="1:5">
      <c r="E112" s="293"/>
    </row>
    <row r="113" spans="1:5">
      <c r="A113" s="269"/>
      <c r="C113" s="155"/>
      <c r="E113" s="8"/>
    </row>
    <row r="114" spans="1:5">
      <c r="E114" s="277"/>
    </row>
    <row r="115" spans="1:5">
      <c r="A115" s="269"/>
      <c r="C115" s="155"/>
      <c r="E115" s="79"/>
    </row>
    <row r="116" spans="1:5">
      <c r="E116" s="277"/>
    </row>
    <row r="117" spans="1:5">
      <c r="A117" s="269"/>
      <c r="C117" s="155"/>
      <c r="E117" s="79"/>
    </row>
    <row r="118" spans="1:5">
      <c r="E118" s="277"/>
    </row>
    <row r="119" spans="1:5">
      <c r="A119" s="269"/>
      <c r="C119" s="155"/>
      <c r="E119" s="79"/>
    </row>
    <row r="120" spans="1:5">
      <c r="E120" s="277"/>
    </row>
    <row r="121" spans="1:5">
      <c r="A121" s="269"/>
      <c r="C121" s="155"/>
      <c r="E121" s="79"/>
    </row>
    <row r="122" spans="1:5">
      <c r="E122" s="277"/>
    </row>
    <row r="123" spans="1:5">
      <c r="A123" s="269"/>
      <c r="C123" s="155"/>
      <c r="E123" s="79"/>
    </row>
    <row r="124" spans="1:5">
      <c r="E124" s="277"/>
    </row>
    <row r="125" spans="1:5">
      <c r="A125" s="269"/>
      <c r="C125" s="155"/>
      <c r="E125" s="79"/>
    </row>
    <row r="126" spans="1:5">
      <c r="E126" s="277"/>
    </row>
    <row r="127" spans="1:5">
      <c r="A127" s="269"/>
      <c r="C127" s="155"/>
    </row>
    <row r="128" spans="1:5">
      <c r="E128" s="155"/>
    </row>
    <row r="129" spans="1:5">
      <c r="A129" s="269"/>
      <c r="C129" s="155"/>
    </row>
    <row r="130" spans="1:5">
      <c r="E130" s="155"/>
    </row>
    <row r="131" spans="1:5">
      <c r="A131" s="269"/>
      <c r="C131" s="155"/>
    </row>
    <row r="132" spans="1:5">
      <c r="E132" s="155"/>
    </row>
    <row r="133" spans="1:5">
      <c r="A133" s="269"/>
      <c r="C133" s="155"/>
    </row>
    <row r="134" spans="1:5">
      <c r="E134" s="155"/>
    </row>
    <row r="135" spans="1:5">
      <c r="A135" s="269"/>
      <c r="C135" s="155"/>
    </row>
    <row r="136" spans="1:5">
      <c r="E136" s="155"/>
    </row>
    <row r="137" spans="1:5">
      <c r="A137" s="269"/>
      <c r="C137" s="155"/>
    </row>
    <row r="138" spans="1:5">
      <c r="E138" s="155"/>
    </row>
    <row r="139" spans="1:5">
      <c r="A139" s="269"/>
      <c r="C139" s="155"/>
    </row>
    <row r="140" spans="1:5">
      <c r="E140" s="155"/>
    </row>
    <row r="141" spans="1:5">
      <c r="A141" s="269"/>
      <c r="C141" s="155"/>
    </row>
    <row r="142" spans="1:5">
      <c r="E142" s="155"/>
    </row>
    <row r="143" spans="1:5">
      <c r="A143" s="269"/>
      <c r="C143" s="155"/>
    </row>
    <row r="144" spans="1:5">
      <c r="E144" s="155"/>
    </row>
    <row r="145" spans="1:5">
      <c r="A145" s="269"/>
      <c r="C145" s="155"/>
    </row>
    <row r="146" spans="1:5">
      <c r="E146" s="155"/>
    </row>
    <row r="147" spans="1:5">
      <c r="A147" s="269"/>
      <c r="C147" s="155"/>
    </row>
    <row r="148" spans="1:5">
      <c r="E148" s="155"/>
    </row>
    <row r="149" spans="1:5">
      <c r="A149" s="269"/>
      <c r="C149" s="155"/>
    </row>
    <row r="150" spans="1:5">
      <c r="E150" s="155"/>
    </row>
    <row r="151" spans="1:5">
      <c r="A151" s="269"/>
      <c r="C151" s="155"/>
    </row>
    <row r="152" spans="1:5">
      <c r="E152" s="155"/>
    </row>
    <row r="153" spans="1:5">
      <c r="A153" s="269"/>
      <c r="C153" s="155"/>
    </row>
    <row r="154" spans="1:5">
      <c r="E154" s="155"/>
    </row>
    <row r="155" spans="1:5">
      <c r="A155" s="269"/>
      <c r="C155" s="155"/>
    </row>
    <row r="156" spans="1:5">
      <c r="E156" s="155"/>
    </row>
    <row r="157" spans="1:5">
      <c r="A157" s="269"/>
      <c r="C157" s="155"/>
    </row>
    <row r="158" spans="1:5">
      <c r="E158" s="155"/>
    </row>
    <row r="159" spans="1:5">
      <c r="A159" s="269"/>
      <c r="C159" s="155"/>
    </row>
    <row r="160" spans="1:5">
      <c r="E160" s="155"/>
    </row>
    <row r="161" spans="1:5">
      <c r="A161" s="269"/>
      <c r="C161" s="155"/>
    </row>
    <row r="162" spans="1:5">
      <c r="E162" s="155"/>
    </row>
    <row r="163" spans="1:5">
      <c r="A163" s="269"/>
      <c r="C163" s="155"/>
    </row>
    <row r="164" spans="1:5">
      <c r="E164" s="155"/>
    </row>
    <row r="165" spans="1:5">
      <c r="A165" s="269"/>
      <c r="C165" s="155"/>
    </row>
    <row r="166" spans="1:5">
      <c r="E166" s="155"/>
    </row>
    <row r="167" spans="1:5">
      <c r="A167" s="269"/>
      <c r="C167" s="155"/>
    </row>
    <row r="168" spans="1:5">
      <c r="E168" s="155"/>
    </row>
    <row r="169" spans="1:5">
      <c r="A169" s="269"/>
      <c r="C169" s="155"/>
    </row>
    <row r="170" spans="1:5">
      <c r="E170" s="155"/>
    </row>
    <row r="171" spans="1:5">
      <c r="A171" s="269"/>
      <c r="C171" s="155"/>
    </row>
    <row r="172" spans="1:5">
      <c r="E172" s="155"/>
    </row>
    <row r="173" spans="1:5">
      <c r="A173" s="269"/>
      <c r="C173" s="155"/>
    </row>
    <row r="174" spans="1:5">
      <c r="E174" s="155"/>
    </row>
    <row r="175" spans="1:5">
      <c r="A175" s="269"/>
      <c r="C175" s="155"/>
    </row>
    <row r="176" spans="1:5">
      <c r="E176" s="155"/>
    </row>
    <row r="177" spans="1:5">
      <c r="A177" s="269"/>
      <c r="C177" s="155"/>
    </row>
    <row r="178" spans="1:5">
      <c r="E178" s="155"/>
    </row>
    <row r="179" spans="1:5">
      <c r="A179" s="269"/>
      <c r="C179" s="155"/>
    </row>
    <row r="180" spans="1:5">
      <c r="E180" s="155"/>
    </row>
    <row r="181" spans="1:5">
      <c r="A181" s="269"/>
      <c r="C181" s="155"/>
    </row>
    <row r="182" spans="1:5">
      <c r="E182" s="155"/>
    </row>
    <row r="183" spans="1:5">
      <c r="A183" s="269"/>
      <c r="C183" s="155"/>
    </row>
    <row r="184" spans="1:5">
      <c r="E184" s="155"/>
    </row>
    <row r="185" spans="1:5">
      <c r="A185" s="269"/>
      <c r="C185" s="155"/>
    </row>
    <row r="186" spans="1:5">
      <c r="E186" s="155"/>
    </row>
    <row r="187" spans="1:5">
      <c r="A187" s="269"/>
      <c r="C187" s="155"/>
    </row>
    <row r="188" spans="1:5">
      <c r="E188" s="155"/>
    </row>
    <row r="189" spans="1:5">
      <c r="A189" s="269"/>
      <c r="C189" s="155"/>
    </row>
    <row r="190" spans="1:5">
      <c r="E190" s="155"/>
    </row>
    <row r="191" spans="1:5">
      <c r="A191" s="269"/>
      <c r="C191" s="155"/>
    </row>
    <row r="192" spans="1:5">
      <c r="E192" s="155"/>
    </row>
    <row r="193" spans="1:5">
      <c r="A193" s="269"/>
      <c r="C193" s="155"/>
    </row>
    <row r="194" spans="1:5">
      <c r="E194" s="155"/>
    </row>
    <row r="195" spans="1:5">
      <c r="A195" s="269"/>
      <c r="C195" s="155"/>
    </row>
    <row r="196" spans="1:5">
      <c r="E196" s="155"/>
    </row>
    <row r="197" spans="1:5">
      <c r="A197" s="269"/>
      <c r="C197" s="155"/>
    </row>
    <row r="198" spans="1:5">
      <c r="E198" s="155"/>
    </row>
    <row r="199" spans="1:5">
      <c r="A199" s="269"/>
      <c r="C199" s="155"/>
    </row>
    <row r="200" spans="1:5">
      <c r="E200" s="155"/>
    </row>
    <row r="201" spans="1:5">
      <c r="A201" s="269"/>
      <c r="C201" s="155"/>
    </row>
    <row r="202" spans="1:5">
      <c r="E202" s="155"/>
    </row>
    <row r="203" spans="1:5">
      <c r="A203" s="269"/>
      <c r="D203" s="155"/>
    </row>
    <row r="204" spans="1:5">
      <c r="E204" s="155"/>
    </row>
    <row r="205" spans="1:5">
      <c r="A205" s="269"/>
      <c r="C205" s="155"/>
    </row>
    <row r="206" spans="1:5">
      <c r="E206" s="155"/>
    </row>
    <row r="207" spans="1:5">
      <c r="A207" s="269"/>
      <c r="C207" s="155"/>
    </row>
    <row r="208" spans="1:5">
      <c r="E208" s="155"/>
    </row>
    <row r="209" spans="1:5">
      <c r="A209" s="269"/>
      <c r="C209" s="155"/>
    </row>
    <row r="210" spans="1:5">
      <c r="E210" s="155"/>
    </row>
    <row r="211" spans="1:5">
      <c r="A211" s="269"/>
      <c r="C211" s="155"/>
    </row>
    <row r="212" spans="1:5">
      <c r="E212" s="155"/>
    </row>
    <row r="213" spans="1:5">
      <c r="A213" s="269"/>
      <c r="C213" s="155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F56DD-161B-4C3A-BCBD-3A5B6994874C}">
  <dimension ref="A6:R213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34" t="s">
        <v>3</v>
      </c>
      <c r="C14" s="335"/>
      <c r="D14" s="336"/>
      <c r="E14" s="17">
        <f>SUM(E15:E17)</f>
        <v>755174.49000000011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37" t="s">
        <v>5</v>
      </c>
      <c r="C15" s="338"/>
      <c r="D15" s="339"/>
      <c r="E15" s="20">
        <f>J16+J17+J18+J19</f>
        <v>675397.32000000007</v>
      </c>
      <c r="F15" s="153">
        <f>E15+E16+E17</f>
        <v>755174.49000000011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349" t="s">
        <v>7</v>
      </c>
      <c r="C16" s="350"/>
      <c r="D16" s="351"/>
      <c r="E16" s="20">
        <f>G22+G23</f>
        <v>35325.300000000003</v>
      </c>
      <c r="F16" s="153">
        <v>90000</v>
      </c>
      <c r="G16" s="22">
        <v>6902.52</v>
      </c>
      <c r="H16" s="23" t="s">
        <v>8</v>
      </c>
      <c r="I16" s="24"/>
      <c r="J16" s="25">
        <v>37335.96</v>
      </c>
      <c r="K16" s="26" t="s">
        <v>9</v>
      </c>
      <c r="L16" s="13"/>
      <c r="N16" s="3"/>
    </row>
    <row r="17" spans="2:18">
      <c r="B17" s="352" t="s">
        <v>6</v>
      </c>
      <c r="C17" s="353"/>
      <c r="D17" s="354"/>
      <c r="E17" s="28">
        <f>G16+G17+G18</f>
        <v>44451.87</v>
      </c>
      <c r="F17" s="153">
        <f>+F15-F16</f>
        <v>665174.49000000011</v>
      </c>
      <c r="G17" s="22">
        <v>26207.89</v>
      </c>
      <c r="H17" s="29" t="s">
        <v>10</v>
      </c>
      <c r="I17" s="30"/>
      <c r="J17" s="25">
        <v>359801.55</v>
      </c>
      <c r="K17" s="31" t="s">
        <v>10</v>
      </c>
      <c r="N17" s="3"/>
    </row>
    <row r="18" spans="2:18">
      <c r="B18" s="236" t="s">
        <v>187</v>
      </c>
      <c r="C18" s="237"/>
      <c r="D18" s="238"/>
      <c r="E18" s="28">
        <f>+J22</f>
        <v>14541.8</v>
      </c>
      <c r="F18" s="153"/>
      <c r="G18" s="22">
        <v>11341.46</v>
      </c>
      <c r="H18" s="29" t="s">
        <v>12</v>
      </c>
      <c r="I18" s="30"/>
      <c r="J18" s="25">
        <v>12576.5</v>
      </c>
      <c r="K18" s="31" t="s">
        <v>12</v>
      </c>
      <c r="L18" s="152"/>
      <c r="N18" s="3"/>
    </row>
    <row r="19" spans="2:18">
      <c r="B19" s="379" t="s">
        <v>11</v>
      </c>
      <c r="C19" s="380"/>
      <c r="D19" s="381"/>
      <c r="E19" s="20">
        <f>G29+G31+G30+G28</f>
        <v>337422.61999999994</v>
      </c>
      <c r="F19" s="153"/>
      <c r="G19" s="33"/>
      <c r="H19" s="34"/>
      <c r="I19" s="30"/>
      <c r="J19" s="25">
        <v>265683.31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18873957.289999999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SUM(E22:E24)</f>
        <v>0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/>
      <c r="E22" s="190">
        <v>0</v>
      </c>
      <c r="F22" s="153"/>
      <c r="G22" s="44">
        <v>11218.04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187"/>
      <c r="C23" s="188"/>
      <c r="D23" s="198"/>
      <c r="E23" s="190">
        <v>0</v>
      </c>
      <c r="F23" s="153"/>
      <c r="G23" s="44">
        <v>24107.26</v>
      </c>
      <c r="H23" s="29" t="s">
        <v>18</v>
      </c>
      <c r="I23" s="30"/>
      <c r="J23" s="25"/>
      <c r="K23" s="31"/>
    </row>
    <row r="24" spans="2:18" ht="15" thickBot="1">
      <c r="B24" s="206"/>
      <c r="C24" s="205"/>
      <c r="D24" s="208"/>
      <c r="E24" s="190">
        <v>0</v>
      </c>
      <c r="F24" s="220"/>
      <c r="G24" s="51"/>
      <c r="H24" s="34"/>
      <c r="I24" s="30"/>
      <c r="J24" s="210"/>
      <c r="K24" s="53"/>
      <c r="N24" s="290"/>
    </row>
    <row r="25" spans="2:18" ht="15" thickBot="1">
      <c r="B25" s="46" t="s">
        <v>17</v>
      </c>
      <c r="C25" s="47"/>
      <c r="D25" s="48"/>
      <c r="E25" s="234">
        <f>169.36+45000+10000</f>
        <v>55169.36</v>
      </c>
      <c r="F25" s="153">
        <f>+F17-E25</f>
        <v>610005.13000000012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202" t="s">
        <v>349</v>
      </c>
      <c r="C26" s="203"/>
      <c r="D26" s="204"/>
      <c r="E26" s="234">
        <v>125000</v>
      </c>
      <c r="F26" s="288">
        <f>SUM(E25:E31)</f>
        <v>180169.36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116</v>
      </c>
      <c r="C27" s="200"/>
      <c r="D27" s="201"/>
      <c r="E27" s="49">
        <v>0</v>
      </c>
      <c r="F27" s="153">
        <f>+F25-F26</f>
        <v>429835.77000000014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199" t="s">
        <v>81</v>
      </c>
      <c r="C28" s="200"/>
      <c r="D28" s="201"/>
      <c r="E28" s="49">
        <v>0</v>
      </c>
      <c r="F28" s="221"/>
      <c r="G28" s="22">
        <f>24028.18-11500-8500</f>
        <v>4028.1800000000003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64</v>
      </c>
      <c r="C29" s="200"/>
      <c r="D29" s="201"/>
      <c r="E29" s="49">
        <v>0</v>
      </c>
      <c r="F29" s="220"/>
      <c r="G29" s="22">
        <f>476747.66- 154326.09</f>
        <v>322421.56999999995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344" t="s">
        <v>25</v>
      </c>
      <c r="C30" s="345"/>
      <c r="D30" s="346"/>
      <c r="E30" s="49">
        <v>0</v>
      </c>
      <c r="F30" s="220"/>
      <c r="G30" s="67">
        <v>1752.25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63" t="s">
        <v>29</v>
      </c>
      <c r="C31" s="364"/>
      <c r="D31" s="365"/>
      <c r="E31" s="66">
        <v>0</v>
      </c>
      <c r="F31" s="220"/>
      <c r="G31" s="71">
        <f>401476.26-392255.64</f>
        <v>9220.6199999999953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61"/>
      <c r="F32" s="220"/>
      <c r="N32" s="269"/>
      <c r="P32" s="155"/>
      <c r="R32" s="155"/>
    </row>
    <row r="33" spans="5:18">
      <c r="E33" s="79"/>
    </row>
    <row r="34" spans="5:18">
      <c r="E34" s="79"/>
      <c r="H34" s="61"/>
      <c r="I34" s="61"/>
      <c r="J34" s="13"/>
      <c r="K34" s="61"/>
      <c r="L34" s="61"/>
      <c r="M34" s="61"/>
      <c r="N34" s="269"/>
      <c r="P34" s="155"/>
      <c r="R34" s="155"/>
    </row>
    <row r="35" spans="5:18">
      <c r="E35" s="79"/>
      <c r="H35" s="61"/>
      <c r="I35" s="61"/>
      <c r="J35" s="13"/>
      <c r="K35" s="61"/>
      <c r="L35" s="61"/>
      <c r="M35" s="61"/>
    </row>
    <row r="36" spans="5:18" s="61" customFormat="1" ht="15" customHeight="1">
      <c r="E36" s="181" t="s">
        <v>353</v>
      </c>
      <c r="F36" s="222"/>
      <c r="G36" s="8"/>
      <c r="H36" s="13"/>
      <c r="J36" s="13"/>
      <c r="K36" s="83"/>
      <c r="L36" s="88"/>
      <c r="N36" s="272"/>
      <c r="P36" s="273"/>
      <c r="R36" s="273"/>
    </row>
    <row r="37" spans="5:18" s="61" customFormat="1" ht="15" customHeight="1">
      <c r="E37" s="181"/>
      <c r="F37" s="222"/>
      <c r="G37" s="181"/>
      <c r="H37" s="161"/>
      <c r="I37" s="197"/>
      <c r="J37" s="13"/>
      <c r="K37" s="83"/>
      <c r="L37" s="161"/>
      <c r="M37" s="197"/>
    </row>
    <row r="38" spans="5:18" s="61" customFormat="1" ht="15" customHeight="1">
      <c r="E38" s="8" t="s">
        <v>34</v>
      </c>
      <c r="F38" s="222">
        <f>F17</f>
        <v>665174.49000000011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5:18" s="61" customFormat="1" ht="15" customHeight="1">
      <c r="E39" s="8" t="s">
        <v>35</v>
      </c>
      <c r="F39" s="222">
        <f>+E19</f>
        <v>337422.61999999994</v>
      </c>
      <c r="G39" s="86"/>
      <c r="I39" s="197"/>
      <c r="J39" s="13"/>
      <c r="K39" s="85"/>
      <c r="M39" s="197"/>
    </row>
    <row r="40" spans="5:18" s="61" customFormat="1" ht="15" customHeight="1">
      <c r="E40" s="8" t="s">
        <v>36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5:18" s="61" customFormat="1" ht="15" customHeight="1">
      <c r="E41" s="8" t="s">
        <v>37</v>
      </c>
      <c r="F41" s="222">
        <v>0</v>
      </c>
      <c r="G41" s="9"/>
      <c r="I41" s="197"/>
      <c r="J41" s="13"/>
      <c r="M41" s="197"/>
    </row>
    <row r="42" spans="5:18" s="61" customFormat="1" ht="15" customHeight="1">
      <c r="E42" s="182" t="s">
        <v>38</v>
      </c>
      <c r="F42" s="223">
        <f>SUM(F38:F41)</f>
        <v>1002597.1100000001</v>
      </c>
      <c r="G42" s="9"/>
      <c r="I42" s="197"/>
      <c r="J42" s="13"/>
      <c r="M42" s="197"/>
      <c r="N42" s="272"/>
      <c r="P42" s="273"/>
      <c r="R42" s="273"/>
    </row>
    <row r="43" spans="5:18" s="61" customFormat="1" ht="15" customHeight="1">
      <c r="E43" s="183"/>
      <c r="F43" s="224"/>
      <c r="G43" s="9"/>
      <c r="H43" s="163"/>
      <c r="I43" s="229"/>
      <c r="J43" s="13"/>
      <c r="L43" s="163"/>
      <c r="M43" s="229"/>
    </row>
    <row r="44" spans="5:18" s="61" customFormat="1" ht="15" customHeight="1">
      <c r="E44" s="183" t="s">
        <v>152</v>
      </c>
      <c r="F44" s="224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5:18" s="61" customFormat="1" ht="15" customHeight="1">
      <c r="E45" s="183" t="s">
        <v>180</v>
      </c>
      <c r="F45" s="224">
        <v>0</v>
      </c>
      <c r="G45" s="9"/>
      <c r="H45" s="165"/>
      <c r="I45" s="230"/>
      <c r="J45" s="13"/>
    </row>
    <row r="46" spans="5:18" s="61" customFormat="1" ht="15" customHeight="1">
      <c r="E46" s="183" t="s">
        <v>52</v>
      </c>
      <c r="F46" s="224">
        <v>0</v>
      </c>
      <c r="G46" s="9"/>
      <c r="H46" s="165"/>
      <c r="I46" s="230"/>
      <c r="J46" s="13"/>
    </row>
    <row r="47" spans="5:18" s="61" customFormat="1" ht="15" customHeight="1">
      <c r="E47" s="183" t="s">
        <v>64</v>
      </c>
      <c r="F47" s="224">
        <v>145000</v>
      </c>
      <c r="G47" s="9"/>
      <c r="H47" s="165"/>
      <c r="I47" s="230"/>
      <c r="J47" s="13"/>
    </row>
    <row r="48" spans="5:18" s="61" customFormat="1" ht="15" customHeight="1">
      <c r="E48" s="183" t="s">
        <v>116</v>
      </c>
      <c r="F48" s="224">
        <v>0</v>
      </c>
      <c r="G48" s="9"/>
      <c r="H48" s="165"/>
      <c r="I48" s="230"/>
      <c r="J48" s="13"/>
    </row>
    <row r="49" spans="5:13" s="61" customFormat="1" ht="15" customHeight="1">
      <c r="E49" s="116" t="s">
        <v>24</v>
      </c>
      <c r="F49" s="220">
        <v>0</v>
      </c>
      <c r="G49" s="9"/>
      <c r="H49" s="165"/>
      <c r="I49" s="230"/>
      <c r="J49" s="13"/>
    </row>
    <row r="50" spans="5:13" s="61" customFormat="1">
      <c r="E50" s="116" t="s">
        <v>22</v>
      </c>
      <c r="F50" s="220">
        <v>50000</v>
      </c>
      <c r="G50" s="8"/>
      <c r="H50" s="91"/>
      <c r="I50" s="231"/>
      <c r="J50" s="13"/>
    </row>
    <row r="51" spans="5:13" s="61" customFormat="1">
      <c r="E51" s="116" t="s">
        <v>346</v>
      </c>
      <c r="F51" s="220">
        <v>0</v>
      </c>
      <c r="G51" s="8"/>
      <c r="H51" s="96"/>
      <c r="I51" s="231"/>
      <c r="J51" s="262"/>
    </row>
    <row r="52" spans="5:13" s="61" customFormat="1">
      <c r="E52" s="116" t="s">
        <v>347</v>
      </c>
      <c r="F52" s="220">
        <v>0</v>
      </c>
      <c r="G52" s="8"/>
      <c r="H52" s="96"/>
      <c r="I52" s="231"/>
      <c r="J52" s="262"/>
    </row>
    <row r="53" spans="5:13" s="61" customFormat="1">
      <c r="E53" s="116" t="s">
        <v>53</v>
      </c>
      <c r="F53" s="220">
        <v>0</v>
      </c>
      <c r="G53" s="8"/>
      <c r="H53" s="96"/>
      <c r="I53" s="231"/>
      <c r="J53" s="262"/>
    </row>
    <row r="54" spans="5:13" s="61" customFormat="1">
      <c r="E54" s="116" t="s">
        <v>40</v>
      </c>
      <c r="F54" s="226">
        <f>180000-70000</f>
        <v>110000</v>
      </c>
      <c r="G54" s="8"/>
      <c r="H54" s="96"/>
      <c r="I54" s="231"/>
      <c r="J54" s="262"/>
    </row>
    <row r="55" spans="5:13" s="61" customFormat="1">
      <c r="E55" s="118" t="s">
        <v>41</v>
      </c>
      <c r="F55" s="225">
        <f>SUM(F44:F54)</f>
        <v>430000</v>
      </c>
      <c r="G55" s="82"/>
      <c r="H55" s="83"/>
      <c r="I55" s="228"/>
      <c r="J55" s="13"/>
    </row>
    <row r="56" spans="5:13" s="61" customFormat="1">
      <c r="E56" s="118" t="s">
        <v>42</v>
      </c>
      <c r="F56" s="225">
        <f>F42-F55</f>
        <v>572597.1100000001</v>
      </c>
      <c r="G56" s="82"/>
      <c r="H56" s="83"/>
      <c r="I56" s="233"/>
      <c r="J56" s="13"/>
      <c r="L56" s="91"/>
      <c r="M56" s="232"/>
    </row>
    <row r="57" spans="5:13" s="61" customFormat="1">
      <c r="E57" s="8"/>
      <c r="F57" s="154"/>
      <c r="G57" s="82"/>
      <c r="H57" s="83"/>
      <c r="I57" s="233"/>
      <c r="J57" s="13"/>
      <c r="L57" s="91"/>
      <c r="M57" s="232"/>
    </row>
    <row r="58" spans="5:13" s="61" customFormat="1">
      <c r="E58" s="82" t="s">
        <v>43</v>
      </c>
      <c r="F58" s="80">
        <f>43800+180000</f>
        <v>223800</v>
      </c>
      <c r="G58" s="82"/>
      <c r="H58" s="83"/>
      <c r="I58" s="233"/>
      <c r="J58" s="13"/>
      <c r="L58" s="96"/>
      <c r="M58" s="231"/>
    </row>
    <row r="59" spans="5:13" s="61" customFormat="1">
      <c r="E59" s="82" t="s">
        <v>44</v>
      </c>
      <c r="F59" s="80">
        <v>365000</v>
      </c>
      <c r="G59" s="82"/>
      <c r="H59" s="96"/>
      <c r="I59" s="228"/>
      <c r="J59" s="13"/>
      <c r="L59" s="96"/>
      <c r="M59" s="233"/>
    </row>
    <row r="60" spans="5:13" s="61" customFormat="1">
      <c r="E60" s="82" t="s">
        <v>45</v>
      </c>
      <c r="F60" s="117">
        <v>0</v>
      </c>
      <c r="G60" s="82"/>
      <c r="H60" s="83"/>
      <c r="I60" s="233"/>
      <c r="J60" s="13"/>
    </row>
    <row r="61" spans="5:13" s="61" customFormat="1">
      <c r="E61" s="82" t="s">
        <v>205</v>
      </c>
      <c r="F61" s="117">
        <v>0</v>
      </c>
      <c r="G61"/>
      <c r="H61" s="96"/>
      <c r="I61" s="219"/>
      <c r="J61" s="13"/>
      <c r="L61" s="83"/>
      <c r="M61" s="228"/>
    </row>
    <row r="62" spans="5:13">
      <c r="E62" s="82" t="s">
        <v>206</v>
      </c>
      <c r="F62" s="117">
        <v>0</v>
      </c>
      <c r="H62" s="61"/>
      <c r="I62" s="61"/>
      <c r="J62" s="13"/>
      <c r="K62" s="61"/>
      <c r="L62" s="61"/>
      <c r="M62" s="61"/>
    </row>
    <row r="63" spans="5:13">
      <c r="E63" s="118" t="s">
        <v>46</v>
      </c>
      <c r="F63" s="120">
        <f>SUM(F58:F62)</f>
        <v>588800</v>
      </c>
      <c r="H63" s="61"/>
      <c r="I63" s="61"/>
      <c r="J63" s="13"/>
      <c r="K63" s="61"/>
      <c r="L63" s="61"/>
      <c r="M63" s="61"/>
    </row>
    <row r="64" spans="5:13">
      <c r="E64" s="82"/>
      <c r="F64" s="80"/>
    </row>
    <row r="65" spans="1:7">
      <c r="E65" s="118" t="s">
        <v>47</v>
      </c>
      <c r="F65" s="120">
        <f>F56-F63</f>
        <v>-16202.889999999898</v>
      </c>
      <c r="G65" s="8"/>
    </row>
    <row r="66" spans="1:7">
      <c r="D66" s="247" t="s">
        <v>192</v>
      </c>
      <c r="E66" s="8"/>
      <c r="F66" s="220"/>
      <c r="G66" s="8"/>
    </row>
    <row r="67" spans="1:7">
      <c r="D67" s="247" t="s">
        <v>194</v>
      </c>
      <c r="E67" s="8"/>
      <c r="F67" s="220"/>
      <c r="G67" s="8"/>
    </row>
    <row r="68" spans="1:7">
      <c r="D68" s="8" t="s">
        <v>9</v>
      </c>
      <c r="E68" s="8"/>
      <c r="F68" s="220"/>
      <c r="G68" s="8"/>
    </row>
    <row r="69" spans="1:7">
      <c r="D69" s="8" t="s">
        <v>195</v>
      </c>
      <c r="E69" s="8"/>
      <c r="F69" s="220"/>
      <c r="G69" s="124">
        <f>SUM(E75:F75)</f>
        <v>0</v>
      </c>
    </row>
    <row r="70" spans="1:7">
      <c r="D70" s="8" t="s">
        <v>188</v>
      </c>
      <c r="E70" s="247"/>
      <c r="F70" s="243"/>
      <c r="G70" s="8"/>
    </row>
    <row r="71" spans="1:7">
      <c r="D71" s="8"/>
      <c r="E71" s="247"/>
      <c r="F71" s="244"/>
    </row>
    <row r="72" spans="1:7">
      <c r="E72" s="249"/>
      <c r="F72" s="246"/>
    </row>
    <row r="73" spans="1:7">
      <c r="E73" s="249"/>
      <c r="F73" s="287"/>
    </row>
    <row r="74" spans="1:7">
      <c r="E74" s="249"/>
      <c r="F74" s="287"/>
    </row>
    <row r="75" spans="1:7">
      <c r="E75" s="124"/>
      <c r="F75" s="287"/>
    </row>
    <row r="76" spans="1:7">
      <c r="E76" s="8"/>
    </row>
    <row r="77" spans="1:7">
      <c r="A77" s="268"/>
      <c r="E77" s="8"/>
    </row>
    <row r="78" spans="1:7">
      <c r="E78" s="8"/>
    </row>
    <row r="79" spans="1:7">
      <c r="E79" s="8"/>
    </row>
    <row r="80" spans="1:7">
      <c r="B80" s="235"/>
      <c r="E80" s="8"/>
    </row>
    <row r="81" spans="1:5">
      <c r="E81" s="8"/>
    </row>
    <row r="82" spans="1:5">
      <c r="E82" s="293"/>
    </row>
    <row r="83" spans="1:5">
      <c r="A83" s="269"/>
      <c r="C83" s="155"/>
      <c r="E83" s="8"/>
    </row>
    <row r="84" spans="1:5">
      <c r="E84" s="293"/>
    </row>
    <row r="85" spans="1:5">
      <c r="A85" s="269"/>
      <c r="C85" s="155"/>
      <c r="E85" s="8"/>
    </row>
    <row r="86" spans="1:5">
      <c r="E86" s="293"/>
    </row>
    <row r="87" spans="1:5">
      <c r="A87" s="269"/>
      <c r="C87" s="155"/>
      <c r="E87" s="8"/>
    </row>
    <row r="88" spans="1:5">
      <c r="E88" s="293"/>
    </row>
    <row r="89" spans="1:5">
      <c r="A89" s="269"/>
      <c r="C89" s="155"/>
      <c r="E89" s="8"/>
    </row>
    <row r="90" spans="1:5">
      <c r="E90" s="293"/>
    </row>
    <row r="91" spans="1:5">
      <c r="A91" s="269"/>
      <c r="C91" s="155"/>
      <c r="E91" s="8"/>
    </row>
    <row r="92" spans="1:5">
      <c r="E92" s="293"/>
    </row>
    <row r="93" spans="1:5">
      <c r="A93" s="269"/>
      <c r="C93" s="155"/>
      <c r="E93" s="8"/>
    </row>
    <row r="94" spans="1:5">
      <c r="E94" s="293"/>
    </row>
    <row r="95" spans="1:5">
      <c r="A95" s="269"/>
      <c r="C95" s="155"/>
      <c r="E95" s="8"/>
    </row>
    <row r="96" spans="1:5">
      <c r="E96" s="293"/>
    </row>
    <row r="97" spans="1:5">
      <c r="A97" s="269"/>
      <c r="C97" s="155"/>
      <c r="E97" s="8"/>
    </row>
    <row r="98" spans="1:5">
      <c r="E98" s="293"/>
    </row>
    <row r="99" spans="1:5">
      <c r="A99" s="269"/>
      <c r="C99" s="155"/>
      <c r="E99" s="8"/>
    </row>
    <row r="100" spans="1:5">
      <c r="E100" s="293"/>
    </row>
    <row r="101" spans="1:5">
      <c r="A101" s="269"/>
      <c r="C101" s="155"/>
      <c r="E101" s="8"/>
    </row>
    <row r="102" spans="1:5">
      <c r="E102" s="293"/>
    </row>
    <row r="103" spans="1:5">
      <c r="A103" s="269"/>
      <c r="C103" s="155"/>
      <c r="E103" s="8"/>
    </row>
    <row r="104" spans="1:5">
      <c r="E104" s="293"/>
    </row>
    <row r="105" spans="1:5">
      <c r="A105" s="269"/>
      <c r="C105" s="155"/>
      <c r="E105" s="8"/>
    </row>
    <row r="106" spans="1:5">
      <c r="E106" s="293"/>
    </row>
    <row r="107" spans="1:5">
      <c r="A107" s="269"/>
      <c r="C107" s="155"/>
      <c r="E107" s="8"/>
    </row>
    <row r="108" spans="1:5">
      <c r="E108" s="293"/>
    </row>
    <row r="109" spans="1:5">
      <c r="A109" s="269"/>
      <c r="C109" s="155"/>
      <c r="E109" s="8"/>
    </row>
    <row r="110" spans="1:5">
      <c r="E110" s="293"/>
    </row>
    <row r="111" spans="1:5">
      <c r="A111" s="269"/>
      <c r="C111" s="155"/>
      <c r="E111" s="8"/>
    </row>
    <row r="112" spans="1:5">
      <c r="E112" s="293"/>
    </row>
    <row r="113" spans="1:5">
      <c r="A113" s="269"/>
      <c r="C113" s="155"/>
      <c r="E113" s="8"/>
    </row>
    <row r="114" spans="1:5">
      <c r="E114" s="277"/>
    </row>
    <row r="115" spans="1:5">
      <c r="A115" s="269"/>
      <c r="C115" s="155"/>
      <c r="E115" s="79"/>
    </row>
    <row r="116" spans="1:5">
      <c r="E116" s="277"/>
    </row>
    <row r="117" spans="1:5">
      <c r="A117" s="269"/>
      <c r="C117" s="155"/>
      <c r="E117" s="79"/>
    </row>
    <row r="118" spans="1:5">
      <c r="E118" s="277"/>
    </row>
    <row r="119" spans="1:5">
      <c r="A119" s="269"/>
      <c r="C119" s="155"/>
      <c r="E119" s="79"/>
    </row>
    <row r="120" spans="1:5">
      <c r="E120" s="277"/>
    </row>
    <row r="121" spans="1:5">
      <c r="A121" s="269"/>
      <c r="C121" s="155"/>
      <c r="E121" s="79"/>
    </row>
    <row r="122" spans="1:5">
      <c r="E122" s="277"/>
    </row>
    <row r="123" spans="1:5">
      <c r="A123" s="269"/>
      <c r="C123" s="155"/>
      <c r="E123" s="79"/>
    </row>
    <row r="124" spans="1:5">
      <c r="E124" s="277"/>
    </row>
    <row r="125" spans="1:5">
      <c r="A125" s="269"/>
      <c r="C125" s="155"/>
      <c r="E125" s="79"/>
    </row>
    <row r="126" spans="1:5">
      <c r="E126" s="277"/>
    </row>
    <row r="127" spans="1:5">
      <c r="A127" s="269"/>
      <c r="C127" s="155"/>
    </row>
    <row r="128" spans="1:5">
      <c r="E128" s="155"/>
    </row>
    <row r="129" spans="1:5">
      <c r="A129" s="269"/>
      <c r="C129" s="155"/>
    </row>
    <row r="130" spans="1:5">
      <c r="E130" s="155"/>
    </row>
    <row r="131" spans="1:5">
      <c r="A131" s="269"/>
      <c r="C131" s="155"/>
    </row>
    <row r="132" spans="1:5">
      <c r="E132" s="155"/>
    </row>
    <row r="133" spans="1:5">
      <c r="A133" s="269"/>
      <c r="C133" s="155"/>
    </row>
    <row r="134" spans="1:5">
      <c r="E134" s="155"/>
    </row>
    <row r="135" spans="1:5">
      <c r="A135" s="269"/>
      <c r="C135" s="155"/>
    </row>
    <row r="136" spans="1:5">
      <c r="E136" s="155"/>
    </row>
    <row r="137" spans="1:5">
      <c r="A137" s="269"/>
      <c r="C137" s="155"/>
    </row>
    <row r="138" spans="1:5">
      <c r="E138" s="155"/>
    </row>
    <row r="139" spans="1:5">
      <c r="A139" s="269"/>
      <c r="C139" s="155"/>
    </row>
    <row r="140" spans="1:5">
      <c r="E140" s="155"/>
    </row>
    <row r="141" spans="1:5">
      <c r="A141" s="269"/>
      <c r="C141" s="155"/>
    </row>
    <row r="142" spans="1:5">
      <c r="E142" s="155"/>
    </row>
    <row r="143" spans="1:5">
      <c r="A143" s="269"/>
      <c r="C143" s="155"/>
    </row>
    <row r="144" spans="1:5">
      <c r="E144" s="155"/>
    </row>
    <row r="145" spans="1:5">
      <c r="A145" s="269"/>
      <c r="C145" s="155"/>
    </row>
    <row r="146" spans="1:5">
      <c r="E146" s="155"/>
    </row>
    <row r="147" spans="1:5">
      <c r="A147" s="269"/>
      <c r="C147" s="155"/>
    </row>
    <row r="148" spans="1:5">
      <c r="E148" s="155"/>
    </row>
    <row r="149" spans="1:5">
      <c r="A149" s="269"/>
      <c r="C149" s="155"/>
    </row>
    <row r="150" spans="1:5">
      <c r="E150" s="155"/>
    </row>
    <row r="151" spans="1:5">
      <c r="A151" s="269"/>
      <c r="C151" s="155"/>
    </row>
    <row r="152" spans="1:5">
      <c r="E152" s="155"/>
    </row>
    <row r="153" spans="1:5">
      <c r="A153" s="269"/>
      <c r="C153" s="155"/>
    </row>
    <row r="154" spans="1:5">
      <c r="E154" s="155"/>
    </row>
    <row r="155" spans="1:5">
      <c r="A155" s="269"/>
      <c r="C155" s="155"/>
    </row>
    <row r="156" spans="1:5">
      <c r="E156" s="155"/>
    </row>
    <row r="157" spans="1:5">
      <c r="A157" s="269"/>
      <c r="C157" s="155"/>
    </row>
    <row r="158" spans="1:5">
      <c r="E158" s="155"/>
    </row>
    <row r="159" spans="1:5">
      <c r="A159" s="269"/>
      <c r="C159" s="155"/>
    </row>
    <row r="160" spans="1:5">
      <c r="E160" s="155"/>
    </row>
    <row r="161" spans="1:5">
      <c r="A161" s="269"/>
      <c r="C161" s="155"/>
    </row>
    <row r="162" spans="1:5">
      <c r="E162" s="155"/>
    </row>
    <row r="163" spans="1:5">
      <c r="A163" s="269"/>
      <c r="C163" s="155"/>
    </row>
    <row r="164" spans="1:5">
      <c r="E164" s="155"/>
    </row>
    <row r="165" spans="1:5">
      <c r="A165" s="269"/>
      <c r="C165" s="155"/>
    </row>
    <row r="166" spans="1:5">
      <c r="E166" s="155"/>
    </row>
    <row r="167" spans="1:5">
      <c r="A167" s="269"/>
      <c r="C167" s="155"/>
    </row>
    <row r="168" spans="1:5">
      <c r="E168" s="155"/>
    </row>
    <row r="169" spans="1:5">
      <c r="A169" s="269"/>
      <c r="C169" s="155"/>
    </row>
    <row r="170" spans="1:5">
      <c r="E170" s="155"/>
    </row>
    <row r="171" spans="1:5">
      <c r="A171" s="269"/>
      <c r="C171" s="155"/>
    </row>
    <row r="172" spans="1:5">
      <c r="E172" s="155"/>
    </row>
    <row r="173" spans="1:5">
      <c r="A173" s="269"/>
      <c r="C173" s="155"/>
    </row>
    <row r="174" spans="1:5">
      <c r="E174" s="155"/>
    </row>
    <row r="175" spans="1:5">
      <c r="A175" s="269"/>
      <c r="C175" s="155"/>
    </row>
    <row r="176" spans="1:5">
      <c r="E176" s="155"/>
    </row>
    <row r="177" spans="1:5">
      <c r="A177" s="269"/>
      <c r="C177" s="155"/>
    </row>
    <row r="178" spans="1:5">
      <c r="E178" s="155"/>
    </row>
    <row r="179" spans="1:5">
      <c r="A179" s="269"/>
      <c r="C179" s="155"/>
    </row>
    <row r="180" spans="1:5">
      <c r="E180" s="155"/>
    </row>
    <row r="181" spans="1:5">
      <c r="A181" s="269"/>
      <c r="C181" s="155"/>
    </row>
    <row r="182" spans="1:5">
      <c r="E182" s="155"/>
    </row>
    <row r="183" spans="1:5">
      <c r="A183" s="269"/>
      <c r="C183" s="155"/>
    </row>
    <row r="184" spans="1:5">
      <c r="E184" s="155"/>
    </row>
    <row r="185" spans="1:5">
      <c r="A185" s="269"/>
      <c r="C185" s="155"/>
    </row>
    <row r="186" spans="1:5">
      <c r="E186" s="155"/>
    </row>
    <row r="187" spans="1:5">
      <c r="A187" s="269"/>
      <c r="C187" s="155"/>
    </row>
    <row r="188" spans="1:5">
      <c r="E188" s="155"/>
    </row>
    <row r="189" spans="1:5">
      <c r="A189" s="269"/>
      <c r="C189" s="155"/>
    </row>
    <row r="190" spans="1:5">
      <c r="E190" s="155"/>
    </row>
    <row r="191" spans="1:5">
      <c r="A191" s="269"/>
      <c r="C191" s="155"/>
    </row>
    <row r="192" spans="1:5">
      <c r="E192" s="155"/>
    </row>
    <row r="193" spans="1:5">
      <c r="A193" s="269"/>
      <c r="C193" s="155"/>
    </row>
    <row r="194" spans="1:5">
      <c r="E194" s="155"/>
    </row>
    <row r="195" spans="1:5">
      <c r="A195" s="269"/>
      <c r="C195" s="155"/>
    </row>
    <row r="196" spans="1:5">
      <c r="E196" s="155"/>
    </row>
    <row r="197" spans="1:5">
      <c r="A197" s="269"/>
      <c r="C197" s="155"/>
    </row>
    <row r="198" spans="1:5">
      <c r="E198" s="155"/>
    </row>
    <row r="199" spans="1:5">
      <c r="A199" s="269"/>
      <c r="C199" s="155"/>
    </row>
    <row r="200" spans="1:5">
      <c r="E200" s="155"/>
    </row>
    <row r="201" spans="1:5">
      <c r="A201" s="269"/>
      <c r="C201" s="155"/>
    </row>
    <row r="202" spans="1:5">
      <c r="E202" s="155"/>
    </row>
    <row r="203" spans="1:5">
      <c r="A203" s="269"/>
      <c r="D203" s="155"/>
    </row>
    <row r="204" spans="1:5">
      <c r="E204" s="155"/>
    </row>
    <row r="205" spans="1:5">
      <c r="A205" s="269"/>
      <c r="C205" s="155"/>
    </row>
    <row r="206" spans="1:5">
      <c r="E206" s="155"/>
    </row>
    <row r="207" spans="1:5">
      <c r="A207" s="269"/>
      <c r="C207" s="155"/>
    </row>
    <row r="208" spans="1:5">
      <c r="E208" s="155"/>
    </row>
    <row r="209" spans="1:5">
      <c r="A209" s="269"/>
      <c r="C209" s="155"/>
    </row>
    <row r="210" spans="1:5">
      <c r="E210" s="155"/>
    </row>
    <row r="211" spans="1:5">
      <c r="A211" s="269"/>
      <c r="C211" s="155"/>
    </row>
    <row r="212" spans="1:5">
      <c r="E212" s="155"/>
    </row>
    <row r="213" spans="1:5">
      <c r="A213" s="269"/>
      <c r="C213" s="155"/>
    </row>
  </sheetData>
  <mergeCells count="16"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AE04D-E3D9-418D-8C3D-2C371EC6B2F0}">
  <dimension ref="A6:R210"/>
  <sheetViews>
    <sheetView showGridLines="0" topLeftCell="A6" workbookViewId="0">
      <selection activeCell="A6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34" t="s">
        <v>3</v>
      </c>
      <c r="C14" s="335"/>
      <c r="D14" s="336"/>
      <c r="E14" s="17">
        <f>SUM(E15:E17)</f>
        <v>856053.74000000011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37" t="s">
        <v>5</v>
      </c>
      <c r="C15" s="338"/>
      <c r="D15" s="339"/>
      <c r="E15" s="20">
        <f>J16+J17+J18+J19</f>
        <v>743144.52</v>
      </c>
      <c r="F15" s="153">
        <f>E15+E16+E17</f>
        <v>856053.74000000011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349" t="s">
        <v>7</v>
      </c>
      <c r="C16" s="350"/>
      <c r="D16" s="351"/>
      <c r="E16" s="20">
        <f>G22+G23</f>
        <v>36671.300000000003</v>
      </c>
      <c r="F16" s="153">
        <v>90000</v>
      </c>
      <c r="G16" s="22">
        <v>18676.52</v>
      </c>
      <c r="H16" s="23" t="s">
        <v>8</v>
      </c>
      <c r="I16" s="24"/>
      <c r="J16" s="25">
        <v>5534.56</v>
      </c>
      <c r="K16" s="26" t="s">
        <v>9</v>
      </c>
      <c r="L16" s="13"/>
      <c r="N16" s="3"/>
    </row>
    <row r="17" spans="2:18">
      <c r="B17" s="352" t="s">
        <v>6</v>
      </c>
      <c r="C17" s="353"/>
      <c r="D17" s="354"/>
      <c r="E17" s="28">
        <f>G16+G17+G18</f>
        <v>76237.920000000013</v>
      </c>
      <c r="F17" s="153">
        <f>+F15-F16</f>
        <v>766053.74000000011</v>
      </c>
      <c r="G17" s="22">
        <v>48801.36</v>
      </c>
      <c r="H17" s="29" t="s">
        <v>10</v>
      </c>
      <c r="I17" s="30"/>
      <c r="J17" s="25">
        <v>230696.35</v>
      </c>
      <c r="K17" s="31" t="s">
        <v>10</v>
      </c>
      <c r="N17" s="3"/>
    </row>
    <row r="18" spans="2:18">
      <c r="B18" s="236" t="s">
        <v>187</v>
      </c>
      <c r="C18" s="237"/>
      <c r="D18" s="238"/>
      <c r="E18" s="28">
        <f>+J22</f>
        <v>14541.8</v>
      </c>
      <c r="F18" s="153"/>
      <c r="G18" s="22">
        <v>8760.0400000000009</v>
      </c>
      <c r="H18" s="29" t="s">
        <v>12</v>
      </c>
      <c r="I18" s="30"/>
      <c r="J18" s="25">
        <v>246059.5</v>
      </c>
      <c r="K18" s="31" t="s">
        <v>12</v>
      </c>
      <c r="L18" s="152"/>
      <c r="N18" s="3"/>
    </row>
    <row r="19" spans="2:18">
      <c r="B19" s="379" t="s">
        <v>11</v>
      </c>
      <c r="C19" s="380"/>
      <c r="D19" s="381"/>
      <c r="E19" s="20">
        <f>G29+G31+G30+G28</f>
        <v>337969.30000000005</v>
      </c>
      <c r="F19" s="153"/>
      <c r="G19" s="33"/>
      <c r="H19" s="34"/>
      <c r="I19" s="30"/>
      <c r="J19" s="25">
        <v>260854.11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18874825.780000001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SUM(E22:E24)</f>
        <v>233026.6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196</v>
      </c>
      <c r="E22" s="190">
        <v>233026.6</v>
      </c>
      <c r="F22" s="153"/>
      <c r="G22" s="44">
        <v>12564.04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187"/>
      <c r="C23" s="188"/>
      <c r="D23" s="198"/>
      <c r="E23" s="190">
        <v>0</v>
      </c>
      <c r="F23" s="153"/>
      <c r="G23" s="44">
        <v>24107.26</v>
      </c>
      <c r="H23" s="29" t="s">
        <v>18</v>
      </c>
      <c r="I23" s="30"/>
      <c r="J23" s="25"/>
      <c r="K23" s="31"/>
    </row>
    <row r="24" spans="2:18" ht="15" thickBot="1">
      <c r="B24" s="206"/>
      <c r="C24" s="205"/>
      <c r="D24" s="208"/>
      <c r="E24" s="190">
        <v>0</v>
      </c>
      <c r="F24" s="220"/>
      <c r="G24" s="51"/>
      <c r="H24" s="34"/>
      <c r="I24" s="30"/>
      <c r="J24" s="210"/>
      <c r="K24" s="53"/>
      <c r="N24" s="290"/>
    </row>
    <row r="25" spans="2:18" ht="15" thickBot="1">
      <c r="B25" s="46" t="s">
        <v>17</v>
      </c>
      <c r="C25" s="47"/>
      <c r="D25" s="48"/>
      <c r="E25" s="234">
        <v>97908.03</v>
      </c>
      <c r="F25" s="153">
        <f>+F17-E25</f>
        <v>668145.71000000008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202" t="s">
        <v>349</v>
      </c>
      <c r="C26" s="203"/>
      <c r="D26" s="204"/>
      <c r="E26" s="234">
        <v>0</v>
      </c>
      <c r="F26" s="288">
        <f>SUM(E25:E31)</f>
        <v>232908.03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116</v>
      </c>
      <c r="C27" s="200"/>
      <c r="D27" s="201"/>
      <c r="E27" s="49">
        <v>0</v>
      </c>
      <c r="F27" s="153">
        <f>+F25-F26</f>
        <v>435237.68000000005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199" t="s">
        <v>81</v>
      </c>
      <c r="C28" s="200"/>
      <c r="D28" s="201"/>
      <c r="E28" s="49">
        <v>0</v>
      </c>
      <c r="F28" s="221"/>
      <c r="G28" s="22">
        <f>24036.93-11500-8500</f>
        <v>4036.9300000000003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64</v>
      </c>
      <c r="C29" s="200"/>
      <c r="D29" s="201"/>
      <c r="E29" s="49">
        <v>135000</v>
      </c>
      <c r="F29" s="220"/>
      <c r="G29" s="22">
        <f>476969.4- 154326.09</f>
        <v>322643.31000000006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344" t="s">
        <v>25</v>
      </c>
      <c r="C30" s="345"/>
      <c r="D30" s="346"/>
      <c r="E30" s="49">
        <v>0</v>
      </c>
      <c r="F30" s="220"/>
      <c r="G30" s="67">
        <v>1753.27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63" t="s">
        <v>29</v>
      </c>
      <c r="C31" s="364"/>
      <c r="D31" s="365"/>
      <c r="E31" s="66">
        <v>0</v>
      </c>
      <c r="F31" s="220"/>
      <c r="G31" s="71">
        <f>401791.43-392255.64</f>
        <v>9535.789999999979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79"/>
      <c r="N32" s="269"/>
      <c r="P32" s="155"/>
      <c r="R32" s="155"/>
    </row>
    <row r="33" spans="5:18">
      <c r="E33" s="79"/>
    </row>
    <row r="34" spans="5:18">
      <c r="E34" s="79"/>
      <c r="H34" s="61"/>
      <c r="I34" s="61"/>
      <c r="J34" s="13"/>
      <c r="K34" s="61"/>
      <c r="L34" s="61"/>
      <c r="M34" s="61"/>
      <c r="N34" s="269"/>
      <c r="P34" s="155"/>
      <c r="R34" s="155"/>
    </row>
    <row r="35" spans="5:18">
      <c r="E35" s="79"/>
      <c r="H35" s="61"/>
      <c r="I35" s="61"/>
      <c r="J35" s="13"/>
      <c r="K35" s="61"/>
      <c r="L35" s="61"/>
      <c r="M35" s="61"/>
    </row>
    <row r="36" spans="5:18" s="61" customFormat="1" ht="15" customHeight="1">
      <c r="E36" s="181" t="s">
        <v>354</v>
      </c>
      <c r="F36" s="222"/>
      <c r="G36" s="8"/>
      <c r="H36" s="13"/>
      <c r="J36" s="13"/>
      <c r="K36" s="83"/>
      <c r="L36" s="88"/>
      <c r="N36" s="272"/>
      <c r="P36" s="273"/>
      <c r="R36" s="273"/>
    </row>
    <row r="37" spans="5:18" s="61" customFormat="1" ht="15" customHeight="1">
      <c r="E37" s="181"/>
      <c r="F37" s="222"/>
      <c r="G37" s="181"/>
      <c r="H37" s="161"/>
      <c r="I37" s="197"/>
      <c r="J37" s="13"/>
      <c r="K37" s="83"/>
      <c r="L37" s="161"/>
      <c r="M37" s="197"/>
    </row>
    <row r="38" spans="5:18" s="61" customFormat="1" ht="15" customHeight="1">
      <c r="E38" s="8" t="s">
        <v>34</v>
      </c>
      <c r="F38" s="222">
        <f>F17</f>
        <v>766053.74000000011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5:18" s="61" customFormat="1" ht="15" customHeight="1">
      <c r="E39" s="8" t="s">
        <v>35</v>
      </c>
      <c r="F39" s="222">
        <f>+E19</f>
        <v>337969.30000000005</v>
      </c>
      <c r="G39" s="86"/>
      <c r="I39" s="197"/>
      <c r="J39" s="13"/>
      <c r="K39" s="85"/>
      <c r="M39" s="197"/>
    </row>
    <row r="40" spans="5:18" s="61" customFormat="1" ht="15" customHeight="1">
      <c r="E40" s="8" t="s">
        <v>36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5:18" s="61" customFormat="1" ht="15" customHeight="1">
      <c r="E41" s="8" t="s">
        <v>37</v>
      </c>
      <c r="F41" s="222">
        <v>0</v>
      </c>
      <c r="G41" s="9"/>
      <c r="I41" s="197"/>
      <c r="J41" s="13"/>
      <c r="M41" s="197"/>
    </row>
    <row r="42" spans="5:18" s="61" customFormat="1" ht="15" customHeight="1">
      <c r="E42" s="182" t="s">
        <v>38</v>
      </c>
      <c r="F42" s="223">
        <f>SUM(F38:F41)</f>
        <v>1104023.04</v>
      </c>
      <c r="G42" s="9"/>
      <c r="I42" s="197"/>
      <c r="J42" s="13"/>
      <c r="M42" s="197"/>
      <c r="N42" s="272"/>
      <c r="P42" s="273"/>
      <c r="R42" s="273"/>
    </row>
    <row r="43" spans="5:18" s="61" customFormat="1" ht="15" customHeight="1">
      <c r="E43" s="183"/>
      <c r="F43" s="224"/>
      <c r="G43" s="9"/>
      <c r="H43" s="163"/>
      <c r="I43" s="229"/>
      <c r="J43" s="13"/>
      <c r="L43" s="163"/>
      <c r="M43" s="229"/>
    </row>
    <row r="44" spans="5:18" s="61" customFormat="1" ht="15" customHeight="1">
      <c r="E44" s="183" t="s">
        <v>152</v>
      </c>
      <c r="F44" s="224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5:18" s="61" customFormat="1" ht="15" customHeight="1">
      <c r="E45" s="183" t="s">
        <v>355</v>
      </c>
      <c r="F45" s="224">
        <v>1300000</v>
      </c>
      <c r="G45" s="9"/>
      <c r="H45" s="165"/>
      <c r="I45" s="230"/>
      <c r="J45" s="13"/>
    </row>
    <row r="46" spans="5:18" s="61" customFormat="1" ht="15" customHeight="1">
      <c r="E46" s="183" t="s">
        <v>356</v>
      </c>
      <c r="F46" s="224">
        <v>120000</v>
      </c>
      <c r="G46" s="9"/>
      <c r="H46" s="165"/>
      <c r="I46" s="230"/>
      <c r="J46" s="13"/>
    </row>
    <row r="47" spans="5:18" s="61" customFormat="1" ht="15" customHeight="1">
      <c r="E47" s="183" t="s">
        <v>64</v>
      </c>
      <c r="F47" s="224">
        <v>135000</v>
      </c>
      <c r="G47" s="9"/>
      <c r="H47" s="165"/>
      <c r="I47" s="230"/>
      <c r="J47" s="13"/>
    </row>
    <row r="48" spans="5:18" s="61" customFormat="1" ht="15" customHeight="1">
      <c r="E48" s="183" t="s">
        <v>69</v>
      </c>
      <c r="F48" s="224">
        <v>60000</v>
      </c>
      <c r="G48" s="9"/>
      <c r="H48" s="165"/>
      <c r="I48" s="230"/>
      <c r="J48" s="13"/>
    </row>
    <row r="49" spans="4:13" s="61" customFormat="1" ht="15" customHeight="1">
      <c r="E49" s="116" t="s">
        <v>24</v>
      </c>
      <c r="F49" s="220">
        <f>15000+65000+220000+20000</f>
        <v>320000</v>
      </c>
      <c r="G49" s="9"/>
      <c r="H49" s="165"/>
      <c r="I49" s="230"/>
      <c r="J49" s="13"/>
    </row>
    <row r="50" spans="4:13" s="61" customFormat="1">
      <c r="E50" s="116" t="s">
        <v>22</v>
      </c>
      <c r="F50" s="220">
        <v>50000</v>
      </c>
      <c r="G50" s="8"/>
      <c r="H50" s="91"/>
      <c r="I50" s="231"/>
      <c r="J50" s="13"/>
    </row>
    <row r="51" spans="4:13" s="61" customFormat="1">
      <c r="E51" s="116" t="s">
        <v>40</v>
      </c>
      <c r="F51" s="226">
        <v>200000</v>
      </c>
      <c r="G51" s="8"/>
      <c r="H51" s="96"/>
      <c r="I51" s="231"/>
      <c r="J51" s="262"/>
    </row>
    <row r="52" spans="4:13" s="61" customFormat="1">
      <c r="E52" s="118" t="s">
        <v>41</v>
      </c>
      <c r="F52" s="225">
        <f>SUM(F44:F51)</f>
        <v>2310000</v>
      </c>
      <c r="G52" s="82"/>
      <c r="H52" s="83"/>
      <c r="I52" s="228"/>
      <c r="J52" s="13"/>
    </row>
    <row r="53" spans="4:13" s="61" customFormat="1">
      <c r="E53" s="118" t="s">
        <v>42</v>
      </c>
      <c r="F53" s="225">
        <f>F42-F52</f>
        <v>-1205976.96</v>
      </c>
      <c r="G53" s="82"/>
      <c r="H53" s="83"/>
      <c r="I53" s="233"/>
      <c r="J53" s="13"/>
      <c r="L53" s="91"/>
      <c r="M53" s="232"/>
    </row>
    <row r="54" spans="4:13" s="61" customFormat="1">
      <c r="E54" s="8"/>
      <c r="F54" s="154"/>
      <c r="G54" s="82"/>
      <c r="H54" s="83"/>
      <c r="I54" s="233"/>
      <c r="J54" s="13"/>
      <c r="L54" s="91"/>
      <c r="M54" s="232"/>
    </row>
    <row r="55" spans="4:13" s="61" customFormat="1">
      <c r="E55" s="82" t="s">
        <v>43</v>
      </c>
      <c r="F55" s="80">
        <f>43800+180000</f>
        <v>223800</v>
      </c>
      <c r="G55" s="82"/>
      <c r="H55" s="83"/>
      <c r="I55" s="233"/>
      <c r="J55" s="13"/>
      <c r="L55" s="96"/>
      <c r="M55" s="231"/>
    </row>
    <row r="56" spans="4:13" s="61" customFormat="1">
      <c r="E56" s="82" t="s">
        <v>44</v>
      </c>
      <c r="F56" s="80">
        <v>365000</v>
      </c>
      <c r="G56" s="82"/>
      <c r="H56" s="96"/>
      <c r="I56" s="228"/>
      <c r="J56" s="13"/>
      <c r="L56" s="96"/>
      <c r="M56" s="233"/>
    </row>
    <row r="57" spans="4:13" s="61" customFormat="1">
      <c r="E57" s="82" t="s">
        <v>45</v>
      </c>
      <c r="F57" s="117">
        <v>0</v>
      </c>
      <c r="G57" s="82"/>
      <c r="H57" s="83"/>
      <c r="I57" s="233"/>
      <c r="J57" s="13"/>
    </row>
    <row r="58" spans="4:13" s="61" customFormat="1">
      <c r="E58" s="82" t="s">
        <v>205</v>
      </c>
      <c r="F58" s="117">
        <v>0</v>
      </c>
      <c r="G58"/>
      <c r="H58" s="96"/>
      <c r="I58" s="219"/>
      <c r="J58" s="13"/>
      <c r="L58" s="83"/>
      <c r="M58" s="228"/>
    </row>
    <row r="59" spans="4:13">
      <c r="E59" s="82" t="s">
        <v>206</v>
      </c>
      <c r="F59" s="117">
        <v>0</v>
      </c>
      <c r="H59" s="61"/>
      <c r="I59" s="61"/>
      <c r="J59" s="13"/>
      <c r="K59" s="61"/>
      <c r="L59" s="61"/>
      <c r="M59" s="61"/>
    </row>
    <row r="60" spans="4:13">
      <c r="E60" s="118" t="s">
        <v>46</v>
      </c>
      <c r="F60" s="120">
        <f>SUM(F55:F59)</f>
        <v>588800</v>
      </c>
      <c r="H60" s="61"/>
      <c r="I60" s="61"/>
      <c r="J60" s="13"/>
      <c r="K60" s="61"/>
      <c r="L60" s="61"/>
      <c r="M60" s="61"/>
    </row>
    <row r="61" spans="4:13">
      <c r="E61" s="82"/>
      <c r="F61" s="80"/>
    </row>
    <row r="62" spans="4:13">
      <c r="E62" s="118" t="s">
        <v>47</v>
      </c>
      <c r="F62" s="120">
        <f>F53-F60</f>
        <v>-1794776.96</v>
      </c>
      <c r="G62" s="8"/>
    </row>
    <row r="63" spans="4:13">
      <c r="D63" s="247" t="s">
        <v>192</v>
      </c>
      <c r="E63" s="8"/>
      <c r="F63" s="220"/>
      <c r="G63" s="8"/>
    </row>
    <row r="64" spans="4:13">
      <c r="D64" s="247" t="s">
        <v>194</v>
      </c>
      <c r="E64" s="8"/>
      <c r="F64" s="220"/>
      <c r="G64" s="8"/>
    </row>
    <row r="65" spans="1:7">
      <c r="D65" s="8" t="s">
        <v>9</v>
      </c>
      <c r="E65" s="8"/>
      <c r="F65" s="220"/>
      <c r="G65" s="8"/>
    </row>
    <row r="66" spans="1:7">
      <c r="D66" s="8" t="s">
        <v>195</v>
      </c>
      <c r="E66" s="8"/>
      <c r="F66" s="220"/>
      <c r="G66" s="124">
        <f>SUM(E72:F72)</f>
        <v>0</v>
      </c>
    </row>
    <row r="67" spans="1:7">
      <c r="D67" s="8" t="s">
        <v>188</v>
      </c>
      <c r="E67" s="247"/>
      <c r="F67" s="243"/>
      <c r="G67" s="8"/>
    </row>
    <row r="68" spans="1:7">
      <c r="D68" s="8"/>
      <c r="E68" s="247"/>
      <c r="F68" s="244"/>
    </row>
    <row r="69" spans="1:7">
      <c r="E69" s="249"/>
      <c r="F69" s="246"/>
    </row>
    <row r="70" spans="1:7">
      <c r="E70" s="249"/>
      <c r="F70" s="287"/>
    </row>
    <row r="71" spans="1:7">
      <c r="E71" s="249"/>
      <c r="F71" s="287"/>
    </row>
    <row r="72" spans="1:7">
      <c r="E72" s="124"/>
      <c r="F72" s="287"/>
    </row>
    <row r="73" spans="1:7">
      <c r="E73" s="8"/>
    </row>
    <row r="74" spans="1:7">
      <c r="A74" s="268"/>
      <c r="E74" s="8"/>
    </row>
    <row r="75" spans="1:7">
      <c r="E75" s="8"/>
    </row>
    <row r="76" spans="1:7">
      <c r="E76" s="8"/>
    </row>
    <row r="77" spans="1:7">
      <c r="B77" s="235"/>
      <c r="E77" s="8"/>
    </row>
    <row r="78" spans="1:7">
      <c r="E78" s="8"/>
    </row>
    <row r="79" spans="1:7">
      <c r="E79" s="293"/>
    </row>
    <row r="80" spans="1:7">
      <c r="A80" s="269"/>
      <c r="C80" s="155"/>
      <c r="E80" s="8"/>
    </row>
    <row r="81" spans="1:5">
      <c r="E81" s="293"/>
    </row>
    <row r="82" spans="1:5">
      <c r="A82" s="269"/>
      <c r="C82" s="155"/>
      <c r="E82" s="8"/>
    </row>
    <row r="83" spans="1:5">
      <c r="E83" s="293"/>
    </row>
    <row r="84" spans="1:5">
      <c r="A84" s="269"/>
      <c r="C84" s="155"/>
      <c r="E84" s="8"/>
    </row>
    <row r="85" spans="1:5">
      <c r="E85" s="293"/>
    </row>
    <row r="86" spans="1:5">
      <c r="A86" s="269"/>
      <c r="C86" s="155"/>
      <c r="E86" s="8"/>
    </row>
    <row r="87" spans="1:5">
      <c r="E87" s="293"/>
    </row>
    <row r="88" spans="1:5">
      <c r="A88" s="269"/>
      <c r="C88" s="155"/>
      <c r="E88" s="8"/>
    </row>
    <row r="89" spans="1:5">
      <c r="E89" s="293"/>
    </row>
    <row r="90" spans="1:5">
      <c r="A90" s="269"/>
      <c r="C90" s="155"/>
      <c r="E90" s="8"/>
    </row>
    <row r="91" spans="1:5">
      <c r="E91" s="293"/>
    </row>
    <row r="92" spans="1:5">
      <c r="A92" s="269"/>
      <c r="C92" s="155"/>
      <c r="E92" s="8"/>
    </row>
    <row r="93" spans="1:5">
      <c r="E93" s="293"/>
    </row>
    <row r="94" spans="1:5">
      <c r="A94" s="269"/>
      <c r="C94" s="155"/>
      <c r="E94" s="8"/>
    </row>
    <row r="95" spans="1:5">
      <c r="E95" s="293"/>
    </row>
    <row r="96" spans="1:5">
      <c r="A96" s="269"/>
      <c r="C96" s="155"/>
      <c r="E96" s="8"/>
    </row>
    <row r="97" spans="1:5">
      <c r="E97" s="293"/>
    </row>
    <row r="98" spans="1:5">
      <c r="A98" s="269"/>
      <c r="C98" s="155"/>
      <c r="E98" s="8"/>
    </row>
    <row r="99" spans="1:5">
      <c r="E99" s="293"/>
    </row>
    <row r="100" spans="1:5">
      <c r="A100" s="269"/>
      <c r="C100" s="155"/>
      <c r="E100" s="8"/>
    </row>
    <row r="101" spans="1:5">
      <c r="E101" s="293"/>
    </row>
    <row r="102" spans="1:5">
      <c r="A102" s="269"/>
      <c r="C102" s="155"/>
      <c r="E102" s="8"/>
    </row>
    <row r="103" spans="1:5">
      <c r="E103" s="293"/>
    </row>
    <row r="104" spans="1:5">
      <c r="A104" s="269"/>
      <c r="C104" s="155"/>
      <c r="E104" s="8"/>
    </row>
    <row r="105" spans="1:5">
      <c r="E105" s="293"/>
    </row>
    <row r="106" spans="1:5">
      <c r="A106" s="269"/>
      <c r="C106" s="155"/>
      <c r="E106" s="8"/>
    </row>
    <row r="107" spans="1:5">
      <c r="E107" s="293"/>
    </row>
    <row r="108" spans="1:5">
      <c r="A108" s="269"/>
      <c r="C108" s="155"/>
      <c r="E108" s="8"/>
    </row>
    <row r="109" spans="1:5">
      <c r="E109" s="293"/>
    </row>
    <row r="110" spans="1:5">
      <c r="A110" s="269"/>
      <c r="C110" s="155"/>
      <c r="E110" s="8"/>
    </row>
    <row r="111" spans="1:5">
      <c r="E111" s="277"/>
    </row>
    <row r="112" spans="1:5">
      <c r="A112" s="269"/>
      <c r="C112" s="155"/>
      <c r="E112" s="79"/>
    </row>
    <row r="113" spans="1:5">
      <c r="E113" s="277"/>
    </row>
    <row r="114" spans="1:5">
      <c r="A114" s="269"/>
      <c r="C114" s="155"/>
      <c r="E114" s="79"/>
    </row>
    <row r="115" spans="1:5">
      <c r="E115" s="277"/>
    </row>
    <row r="116" spans="1:5">
      <c r="A116" s="269"/>
      <c r="C116" s="155"/>
      <c r="E116" s="79"/>
    </row>
    <row r="117" spans="1:5">
      <c r="E117" s="277"/>
    </row>
    <row r="118" spans="1:5">
      <c r="A118" s="269"/>
      <c r="C118" s="155"/>
      <c r="E118" s="79"/>
    </row>
    <row r="119" spans="1:5">
      <c r="E119" s="277"/>
    </row>
    <row r="120" spans="1:5">
      <c r="A120" s="269"/>
      <c r="C120" s="155"/>
      <c r="E120" s="79"/>
    </row>
    <row r="121" spans="1:5">
      <c r="E121" s="277"/>
    </row>
    <row r="122" spans="1:5">
      <c r="A122" s="269"/>
      <c r="C122" s="155"/>
      <c r="E122" s="79"/>
    </row>
    <row r="123" spans="1:5">
      <c r="E123" s="277"/>
    </row>
    <row r="124" spans="1:5">
      <c r="A124" s="269"/>
      <c r="C124" s="155"/>
    </row>
    <row r="125" spans="1:5">
      <c r="E125" s="155"/>
    </row>
    <row r="126" spans="1:5">
      <c r="A126" s="269"/>
      <c r="C126" s="155"/>
    </row>
    <row r="127" spans="1:5">
      <c r="E127" s="155"/>
    </row>
    <row r="128" spans="1:5">
      <c r="A128" s="269"/>
      <c r="C128" s="155"/>
    </row>
    <row r="129" spans="1:5">
      <c r="E129" s="155"/>
    </row>
    <row r="130" spans="1:5">
      <c r="A130" s="269"/>
      <c r="C130" s="155"/>
    </row>
    <row r="131" spans="1:5">
      <c r="E131" s="155"/>
    </row>
    <row r="132" spans="1:5">
      <c r="A132" s="269"/>
      <c r="C132" s="155"/>
    </row>
    <row r="133" spans="1:5">
      <c r="E133" s="155"/>
    </row>
    <row r="134" spans="1:5">
      <c r="A134" s="269"/>
      <c r="C134" s="155"/>
    </row>
    <row r="135" spans="1:5">
      <c r="E135" s="155"/>
    </row>
    <row r="136" spans="1:5">
      <c r="A136" s="269"/>
      <c r="C136" s="155"/>
    </row>
    <row r="137" spans="1:5">
      <c r="E137" s="155"/>
    </row>
    <row r="138" spans="1:5">
      <c r="A138" s="269"/>
      <c r="C138" s="155"/>
    </row>
    <row r="139" spans="1:5">
      <c r="E139" s="155"/>
    </row>
    <row r="140" spans="1:5">
      <c r="A140" s="269"/>
      <c r="C140" s="155"/>
    </row>
    <row r="141" spans="1:5">
      <c r="E141" s="155"/>
    </row>
    <row r="142" spans="1:5">
      <c r="A142" s="269"/>
      <c r="C142" s="155"/>
    </row>
    <row r="143" spans="1:5">
      <c r="E143" s="155"/>
    </row>
    <row r="144" spans="1:5">
      <c r="A144" s="269"/>
      <c r="C144" s="155"/>
    </row>
    <row r="145" spans="1:5">
      <c r="E145" s="155"/>
    </row>
    <row r="146" spans="1:5">
      <c r="A146" s="269"/>
      <c r="C146" s="155"/>
    </row>
    <row r="147" spans="1:5">
      <c r="E147" s="155"/>
    </row>
    <row r="148" spans="1:5">
      <c r="A148" s="269"/>
      <c r="C148" s="155"/>
    </row>
    <row r="149" spans="1:5">
      <c r="E149" s="155"/>
    </row>
    <row r="150" spans="1:5">
      <c r="A150" s="269"/>
      <c r="C150" s="155"/>
    </row>
    <row r="151" spans="1:5">
      <c r="E151" s="155"/>
    </row>
    <row r="152" spans="1:5">
      <c r="A152" s="269"/>
      <c r="C152" s="155"/>
    </row>
    <row r="153" spans="1:5">
      <c r="E153" s="155"/>
    </row>
    <row r="154" spans="1:5">
      <c r="A154" s="269"/>
      <c r="C154" s="155"/>
    </row>
    <row r="155" spans="1:5">
      <c r="E155" s="155"/>
    </row>
    <row r="156" spans="1:5">
      <c r="A156" s="269"/>
      <c r="C156" s="155"/>
    </row>
    <row r="157" spans="1:5">
      <c r="E157" s="155"/>
    </row>
    <row r="158" spans="1:5">
      <c r="A158" s="269"/>
      <c r="C158" s="155"/>
    </row>
    <row r="159" spans="1:5">
      <c r="E159" s="155"/>
    </row>
    <row r="160" spans="1:5">
      <c r="A160" s="269"/>
      <c r="C160" s="155"/>
    </row>
    <row r="161" spans="1:5">
      <c r="E161" s="155"/>
    </row>
    <row r="162" spans="1:5">
      <c r="A162" s="269"/>
      <c r="C162" s="155"/>
    </row>
    <row r="163" spans="1:5">
      <c r="E163" s="155"/>
    </row>
    <row r="164" spans="1:5">
      <c r="A164" s="269"/>
      <c r="C164" s="155"/>
    </row>
    <row r="165" spans="1:5">
      <c r="E165" s="155"/>
    </row>
    <row r="166" spans="1:5">
      <c r="A166" s="269"/>
      <c r="C166" s="155"/>
    </row>
    <row r="167" spans="1:5">
      <c r="E167" s="155"/>
    </row>
    <row r="168" spans="1:5">
      <c r="A168" s="269"/>
      <c r="C168" s="155"/>
    </row>
    <row r="169" spans="1:5">
      <c r="E169" s="155"/>
    </row>
    <row r="170" spans="1:5">
      <c r="A170" s="269"/>
      <c r="C170" s="155"/>
    </row>
    <row r="171" spans="1:5">
      <c r="E171" s="155"/>
    </row>
    <row r="172" spans="1:5">
      <c r="A172" s="269"/>
      <c r="C172" s="155"/>
    </row>
    <row r="173" spans="1:5">
      <c r="E173" s="155"/>
    </row>
    <row r="174" spans="1:5">
      <c r="A174" s="269"/>
      <c r="C174" s="155"/>
    </row>
    <row r="175" spans="1:5">
      <c r="E175" s="155"/>
    </row>
    <row r="176" spans="1:5">
      <c r="A176" s="269"/>
      <c r="C176" s="155"/>
    </row>
    <row r="177" spans="1:5">
      <c r="E177" s="155"/>
    </row>
    <row r="178" spans="1:5">
      <c r="A178" s="269"/>
      <c r="C178" s="155"/>
    </row>
    <row r="179" spans="1:5">
      <c r="E179" s="155"/>
    </row>
    <row r="180" spans="1:5">
      <c r="A180" s="269"/>
      <c r="C180" s="155"/>
    </row>
    <row r="181" spans="1:5">
      <c r="E181" s="155"/>
    </row>
    <row r="182" spans="1:5">
      <c r="A182" s="269"/>
      <c r="C182" s="155"/>
    </row>
    <row r="183" spans="1:5">
      <c r="E183" s="155"/>
    </row>
    <row r="184" spans="1:5">
      <c r="A184" s="269"/>
      <c r="C184" s="155"/>
    </row>
    <row r="185" spans="1:5">
      <c r="E185" s="155"/>
    </row>
    <row r="186" spans="1:5">
      <c r="A186" s="269"/>
      <c r="C186" s="155"/>
    </row>
    <row r="187" spans="1:5">
      <c r="E187" s="155"/>
    </row>
    <row r="188" spans="1:5">
      <c r="A188" s="269"/>
      <c r="C188" s="155"/>
    </row>
    <row r="189" spans="1:5">
      <c r="E189" s="155"/>
    </row>
    <row r="190" spans="1:5">
      <c r="A190" s="269"/>
      <c r="C190" s="155"/>
    </row>
    <row r="191" spans="1:5">
      <c r="E191" s="155"/>
    </row>
    <row r="192" spans="1:5">
      <c r="A192" s="269"/>
      <c r="C192" s="155"/>
    </row>
    <row r="193" spans="1:5">
      <c r="E193" s="155"/>
    </row>
    <row r="194" spans="1:5">
      <c r="A194" s="269"/>
      <c r="C194" s="155"/>
    </row>
    <row r="195" spans="1:5">
      <c r="E195" s="155"/>
    </row>
    <row r="196" spans="1:5">
      <c r="A196" s="269"/>
      <c r="C196" s="155"/>
    </row>
    <row r="197" spans="1:5">
      <c r="E197" s="155"/>
    </row>
    <row r="198" spans="1:5">
      <c r="A198" s="269"/>
      <c r="C198" s="155"/>
    </row>
    <row r="199" spans="1:5">
      <c r="E199" s="155"/>
    </row>
    <row r="200" spans="1:5">
      <c r="A200" s="269"/>
      <c r="D200" s="155"/>
    </row>
    <row r="201" spans="1:5">
      <c r="E201" s="155"/>
    </row>
    <row r="202" spans="1:5">
      <c r="A202" s="269"/>
      <c r="C202" s="155"/>
    </row>
    <row r="203" spans="1:5">
      <c r="E203" s="155"/>
    </row>
    <row r="204" spans="1:5">
      <c r="A204" s="269"/>
      <c r="C204" s="155"/>
    </row>
    <row r="205" spans="1:5">
      <c r="E205" s="155"/>
    </row>
    <row r="206" spans="1:5">
      <c r="A206" s="269"/>
      <c r="C206" s="155"/>
    </row>
    <row r="207" spans="1:5">
      <c r="E207" s="155"/>
    </row>
    <row r="208" spans="1:5">
      <c r="A208" s="269"/>
      <c r="C208" s="155"/>
    </row>
    <row r="209" spans="1:5">
      <c r="E209" s="155"/>
    </row>
    <row r="210" spans="1:5">
      <c r="A210" s="269"/>
      <c r="C210" s="155"/>
    </row>
  </sheetData>
  <mergeCells count="16"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2AEFA-A40E-4EC7-A442-F3C88FA2A88E}">
  <dimension ref="A6:R210"/>
  <sheetViews>
    <sheetView showGridLines="0" topLeftCell="A32" workbookViewId="0">
      <selection activeCell="A32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34" t="s">
        <v>3</v>
      </c>
      <c r="C14" s="335"/>
      <c r="D14" s="336"/>
      <c r="E14" s="17">
        <f>SUM(E15:E17)</f>
        <v>723418.95000000007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37" t="s">
        <v>5</v>
      </c>
      <c r="C15" s="338"/>
      <c r="D15" s="339"/>
      <c r="E15" s="20">
        <f>J16+J17+J18+J19</f>
        <v>539655.52</v>
      </c>
      <c r="F15" s="153">
        <f>E15+E16+E17</f>
        <v>723418.95000000007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349" t="s">
        <v>7</v>
      </c>
      <c r="C16" s="350"/>
      <c r="D16" s="351"/>
      <c r="E16" s="20">
        <f>G22+G23</f>
        <v>36671.300000000003</v>
      </c>
      <c r="F16" s="153">
        <v>90000</v>
      </c>
      <c r="G16" s="22">
        <v>15428.52</v>
      </c>
      <c r="H16" s="23" t="s">
        <v>8</v>
      </c>
      <c r="I16" s="24"/>
      <c r="J16" s="25">
        <v>33902.559999999998</v>
      </c>
      <c r="K16" s="26" t="s">
        <v>9</v>
      </c>
      <c r="L16" s="13"/>
      <c r="N16" s="3"/>
    </row>
    <row r="17" spans="2:18">
      <c r="B17" s="352" t="s">
        <v>6</v>
      </c>
      <c r="C17" s="353"/>
      <c r="D17" s="354"/>
      <c r="E17" s="28">
        <f>G16+G17+G18</f>
        <v>147092.13</v>
      </c>
      <c r="F17" s="153">
        <f>+F15-F16</f>
        <v>633418.95000000007</v>
      </c>
      <c r="G17" s="22">
        <v>14160.13</v>
      </c>
      <c r="H17" s="29" t="s">
        <v>10</v>
      </c>
      <c r="I17" s="30"/>
      <c r="J17" s="25">
        <v>201241.35</v>
      </c>
      <c r="K17" s="31" t="s">
        <v>10</v>
      </c>
      <c r="N17" s="3"/>
    </row>
    <row r="18" spans="2:18">
      <c r="B18" s="236" t="s">
        <v>187</v>
      </c>
      <c r="C18" s="237"/>
      <c r="D18" s="238"/>
      <c r="E18" s="28">
        <f>+J22</f>
        <v>14541.8</v>
      </c>
      <c r="F18" s="153"/>
      <c r="G18" s="22">
        <v>117503.48</v>
      </c>
      <c r="H18" s="29" t="s">
        <v>12</v>
      </c>
      <c r="I18" s="30"/>
      <c r="J18" s="25">
        <v>81971.5</v>
      </c>
      <c r="K18" s="31" t="s">
        <v>12</v>
      </c>
      <c r="L18" s="152"/>
      <c r="N18" s="3"/>
    </row>
    <row r="19" spans="2:18">
      <c r="B19" s="379" t="s">
        <v>11</v>
      </c>
      <c r="C19" s="380"/>
      <c r="D19" s="381"/>
      <c r="E19" s="20">
        <f>G29+G31+G30+G28</f>
        <v>338046.16</v>
      </c>
      <c r="F19" s="153"/>
      <c r="G19" s="33"/>
      <c r="H19" s="34"/>
      <c r="I19" s="30"/>
      <c r="J19" s="25">
        <v>222540.11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19111847.329999998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SUM(E22:E24)</f>
        <v>0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/>
      <c r="E22" s="190">
        <v>0</v>
      </c>
      <c r="F22" s="153"/>
      <c r="G22" s="44">
        <v>12564.04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187"/>
      <c r="C23" s="188"/>
      <c r="D23" s="198"/>
      <c r="E23" s="190">
        <v>0</v>
      </c>
      <c r="F23" s="153"/>
      <c r="G23" s="44">
        <v>24107.26</v>
      </c>
      <c r="H23" s="29" t="s">
        <v>18</v>
      </c>
      <c r="I23" s="30"/>
      <c r="J23" s="25"/>
      <c r="K23" s="31"/>
    </row>
    <row r="24" spans="2:18" ht="15" thickBot="1">
      <c r="B24" s="206"/>
      <c r="C24" s="205"/>
      <c r="D24" s="208"/>
      <c r="E24" s="190">
        <v>0</v>
      </c>
      <c r="F24" s="220"/>
      <c r="G24" s="51"/>
      <c r="H24" s="34"/>
      <c r="I24" s="30"/>
      <c r="J24" s="210"/>
      <c r="K24" s="53"/>
      <c r="N24" s="290"/>
    </row>
    <row r="25" spans="2:18" ht="15" thickBot="1">
      <c r="B25" s="46" t="s">
        <v>17</v>
      </c>
      <c r="C25" s="47"/>
      <c r="D25" s="48"/>
      <c r="E25" s="234">
        <v>0</v>
      </c>
      <c r="F25" s="153">
        <f>+F17-E25</f>
        <v>633418.95000000007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202" t="s">
        <v>349</v>
      </c>
      <c r="C26" s="203"/>
      <c r="D26" s="204"/>
      <c r="E26" s="234">
        <v>0</v>
      </c>
      <c r="F26" s="288">
        <f>SUM(E25:E31)</f>
        <v>320000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116</v>
      </c>
      <c r="C27" s="200"/>
      <c r="D27" s="201"/>
      <c r="E27" s="49">
        <v>0</v>
      </c>
      <c r="F27" s="153">
        <f>+F25-F26</f>
        <v>313418.95000000007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199" t="s">
        <v>81</v>
      </c>
      <c r="C28" s="200"/>
      <c r="D28" s="201"/>
      <c r="E28" s="49">
        <v>0</v>
      </c>
      <c r="F28" s="221"/>
      <c r="G28" s="22">
        <f>24039.86-11500-8500</f>
        <v>4039.8600000000006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64</v>
      </c>
      <c r="C29" s="200"/>
      <c r="D29" s="201"/>
      <c r="E29" s="49">
        <v>320000</v>
      </c>
      <c r="F29" s="220"/>
      <c r="G29" s="22">
        <f>477043.33- 154326.09</f>
        <v>322717.24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344" t="s">
        <v>25</v>
      </c>
      <c r="C30" s="345"/>
      <c r="D30" s="346"/>
      <c r="E30" s="49">
        <v>0</v>
      </c>
      <c r="F30" s="220"/>
      <c r="G30" s="67">
        <v>1753.27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63" t="s">
        <v>29</v>
      </c>
      <c r="C31" s="364"/>
      <c r="D31" s="365"/>
      <c r="E31" s="66">
        <v>0</v>
      </c>
      <c r="F31" s="220"/>
      <c r="G31" s="71">
        <f>401791.43-392255.64</f>
        <v>9535.789999999979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79"/>
      <c r="N32" s="269"/>
      <c r="P32" s="155"/>
      <c r="R32" s="155"/>
    </row>
    <row r="33" spans="5:18">
      <c r="E33" s="61"/>
      <c r="F33" s="219"/>
    </row>
    <row r="34" spans="5:18">
      <c r="E34" s="61"/>
      <c r="F34" s="219"/>
      <c r="H34" s="61"/>
      <c r="I34" s="61"/>
      <c r="J34" s="13"/>
      <c r="K34" s="61"/>
      <c r="L34" s="61"/>
      <c r="M34" s="61"/>
      <c r="N34" s="269"/>
      <c r="P34" s="155"/>
      <c r="R34" s="155"/>
    </row>
    <row r="35" spans="5:18">
      <c r="E35" s="61"/>
      <c r="F35" s="219"/>
      <c r="H35" s="61"/>
      <c r="I35" s="61"/>
      <c r="J35" s="13"/>
      <c r="K35" s="61"/>
      <c r="L35" s="61"/>
      <c r="M35" s="61"/>
    </row>
    <row r="36" spans="5:18" s="61" customFormat="1" ht="15" customHeight="1">
      <c r="E36" s="161" t="s">
        <v>354</v>
      </c>
      <c r="F36" s="197"/>
      <c r="G36" s="8"/>
      <c r="H36" s="13"/>
      <c r="J36" s="13"/>
      <c r="K36" s="83"/>
      <c r="L36" s="88"/>
      <c r="N36" s="272"/>
      <c r="P36" s="273"/>
      <c r="R36" s="273"/>
    </row>
    <row r="37" spans="5:18" s="61" customFormat="1" ht="15" customHeight="1">
      <c r="E37" s="161"/>
      <c r="F37" s="197"/>
      <c r="G37" s="181"/>
      <c r="H37" s="161"/>
      <c r="I37" s="197"/>
      <c r="J37" s="13"/>
      <c r="K37" s="83"/>
      <c r="L37" s="161"/>
      <c r="M37" s="197"/>
    </row>
    <row r="38" spans="5:18" s="61" customFormat="1" ht="15" customHeight="1">
      <c r="E38" s="61" t="s">
        <v>34</v>
      </c>
      <c r="F38" s="197">
        <f>F17</f>
        <v>633418.95000000007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5:18" s="61" customFormat="1" ht="15" customHeight="1">
      <c r="E39" s="61" t="s">
        <v>35</v>
      </c>
      <c r="F39" s="197">
        <f>+E19</f>
        <v>338046.16</v>
      </c>
      <c r="G39" s="86"/>
      <c r="I39" s="197"/>
      <c r="J39" s="13"/>
      <c r="K39" s="85"/>
      <c r="M39" s="197"/>
    </row>
    <row r="40" spans="5:18" s="61" customFormat="1" ht="15" customHeight="1">
      <c r="E40" s="61" t="s">
        <v>36</v>
      </c>
      <c r="F40" s="197">
        <v>0</v>
      </c>
      <c r="G40" s="86"/>
      <c r="I40" s="214"/>
      <c r="J40" s="13"/>
      <c r="K40" s="87"/>
      <c r="M40" s="197"/>
      <c r="N40" s="272"/>
      <c r="P40" s="273"/>
      <c r="R40" s="273"/>
    </row>
    <row r="41" spans="5:18" s="61" customFormat="1" ht="15" customHeight="1">
      <c r="E41" s="61" t="s">
        <v>37</v>
      </c>
      <c r="F41" s="197">
        <v>0</v>
      </c>
      <c r="G41" s="9"/>
      <c r="I41" s="197"/>
      <c r="J41" s="13"/>
      <c r="M41" s="197"/>
    </row>
    <row r="42" spans="5:18" s="61" customFormat="1" ht="15" customHeight="1">
      <c r="E42" s="163" t="s">
        <v>38</v>
      </c>
      <c r="F42" s="229">
        <f>SUM(F38:F41)</f>
        <v>971465.1100000001</v>
      </c>
      <c r="G42" s="9"/>
      <c r="I42" s="197"/>
      <c r="J42" s="13"/>
      <c r="M42" s="197"/>
      <c r="N42" s="272"/>
      <c r="P42" s="273"/>
      <c r="R42" s="273"/>
    </row>
    <row r="43" spans="5:18" s="61" customFormat="1" ht="15" customHeight="1">
      <c r="E43" s="165"/>
      <c r="F43" s="230"/>
      <c r="G43" s="9"/>
      <c r="H43" s="163"/>
      <c r="I43" s="229"/>
      <c r="J43" s="13"/>
      <c r="L43" s="163"/>
      <c r="M43" s="229"/>
    </row>
    <row r="44" spans="5:18" s="61" customFormat="1" ht="15" customHeight="1">
      <c r="E44" s="165" t="s">
        <v>152</v>
      </c>
      <c r="F44" s="230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5:18" s="61" customFormat="1" ht="15" customHeight="1">
      <c r="E45" s="165" t="s">
        <v>355</v>
      </c>
      <c r="F45" s="230">
        <v>1300000</v>
      </c>
      <c r="G45" s="9"/>
      <c r="H45" s="165"/>
      <c r="I45" s="230"/>
      <c r="J45" s="13"/>
    </row>
    <row r="46" spans="5:18" s="61" customFormat="1" ht="15" customHeight="1">
      <c r="E46" s="165" t="s">
        <v>356</v>
      </c>
      <c r="F46" s="230">
        <v>120000</v>
      </c>
      <c r="G46" s="9"/>
      <c r="H46" s="165"/>
      <c r="I46" s="230"/>
      <c r="J46" s="13"/>
    </row>
    <row r="47" spans="5:18" s="61" customFormat="1" ht="15" customHeight="1">
      <c r="E47" s="165" t="s">
        <v>64</v>
      </c>
      <c r="F47" s="230">
        <v>0</v>
      </c>
      <c r="G47" s="9"/>
      <c r="H47" s="165"/>
      <c r="I47" s="230"/>
      <c r="J47" s="13"/>
    </row>
    <row r="48" spans="5:18" s="61" customFormat="1" ht="15" customHeight="1">
      <c r="E48" s="165" t="s">
        <v>69</v>
      </c>
      <c r="F48" s="230">
        <v>60000</v>
      </c>
      <c r="G48" s="9"/>
      <c r="H48" s="165"/>
      <c r="I48" s="230"/>
      <c r="J48" s="13"/>
    </row>
    <row r="49" spans="4:13" s="61" customFormat="1" ht="15" customHeight="1">
      <c r="E49" s="91" t="s">
        <v>24</v>
      </c>
      <c r="F49" s="219">
        <f>220000+20000</f>
        <v>240000</v>
      </c>
      <c r="G49" s="9"/>
      <c r="H49" s="165"/>
      <c r="I49" s="230"/>
      <c r="J49" s="13"/>
    </row>
    <row r="50" spans="4:13" s="61" customFormat="1">
      <c r="E50" s="91" t="s">
        <v>22</v>
      </c>
      <c r="F50" s="219">
        <v>50000</v>
      </c>
      <c r="G50" s="8"/>
      <c r="H50" s="91"/>
      <c r="I50" s="231"/>
      <c r="J50" s="13"/>
    </row>
    <row r="51" spans="4:13" s="61" customFormat="1">
      <c r="E51" s="91" t="s">
        <v>40</v>
      </c>
      <c r="F51" s="232">
        <f>200000-90000</f>
        <v>110000</v>
      </c>
      <c r="G51" s="8"/>
      <c r="H51" s="96"/>
      <c r="I51" s="231"/>
      <c r="J51" s="262"/>
    </row>
    <row r="52" spans="4:13" s="61" customFormat="1">
      <c r="E52" s="96" t="s">
        <v>41</v>
      </c>
      <c r="F52" s="231">
        <f>SUM(F44:F51)</f>
        <v>2005000</v>
      </c>
      <c r="G52" s="82"/>
      <c r="H52" s="83"/>
      <c r="I52" s="228"/>
      <c r="J52" s="13"/>
    </row>
    <row r="53" spans="4:13" s="61" customFormat="1">
      <c r="E53" s="96" t="s">
        <v>42</v>
      </c>
      <c r="F53" s="231">
        <f>F42-F52</f>
        <v>-1033534.8899999999</v>
      </c>
      <c r="G53" s="82"/>
      <c r="H53" s="83"/>
      <c r="I53" s="233"/>
      <c r="J53" s="13"/>
      <c r="L53" s="91"/>
      <c r="M53" s="232"/>
    </row>
    <row r="54" spans="4:13" s="61" customFormat="1">
      <c r="F54" s="39"/>
      <c r="G54" s="82"/>
      <c r="H54" s="83"/>
      <c r="I54" s="233"/>
      <c r="J54" s="13"/>
      <c r="L54" s="91"/>
      <c r="M54" s="232"/>
    </row>
    <row r="55" spans="4:13" s="61" customFormat="1">
      <c r="E55" s="83" t="s">
        <v>43</v>
      </c>
      <c r="F55" s="151">
        <f>43800+180000</f>
        <v>223800</v>
      </c>
      <c r="G55" s="82"/>
      <c r="H55" s="83"/>
      <c r="I55" s="233"/>
      <c r="J55" s="13"/>
      <c r="L55" s="96"/>
      <c r="M55" s="231"/>
    </row>
    <row r="56" spans="4:13" s="61" customFormat="1">
      <c r="E56" s="83" t="s">
        <v>44</v>
      </c>
      <c r="F56" s="151">
        <v>365000</v>
      </c>
      <c r="G56" s="82"/>
      <c r="H56" s="96"/>
      <c r="I56" s="228"/>
      <c r="J56" s="13"/>
      <c r="L56" s="96"/>
      <c r="M56" s="233"/>
    </row>
    <row r="57" spans="4:13" s="61" customFormat="1">
      <c r="E57" s="83" t="s">
        <v>45</v>
      </c>
      <c r="F57" s="95">
        <v>0</v>
      </c>
      <c r="G57" s="82"/>
      <c r="H57" s="83"/>
      <c r="I57" s="233"/>
      <c r="J57" s="13"/>
    </row>
    <row r="58" spans="4:13" s="61" customFormat="1">
      <c r="E58" s="83" t="s">
        <v>205</v>
      </c>
      <c r="F58" s="95">
        <v>0</v>
      </c>
      <c r="G58"/>
      <c r="H58" s="96"/>
      <c r="I58" s="219"/>
      <c r="J58" s="13"/>
      <c r="L58" s="83"/>
      <c r="M58" s="228"/>
    </row>
    <row r="59" spans="4:13">
      <c r="E59" s="83" t="s">
        <v>206</v>
      </c>
      <c r="F59" s="95">
        <v>0</v>
      </c>
      <c r="H59" s="61"/>
      <c r="I59" s="61"/>
      <c r="J59" s="13"/>
      <c r="K59" s="61"/>
      <c r="L59" s="61"/>
      <c r="M59" s="61"/>
    </row>
    <row r="60" spans="4:13">
      <c r="E60" s="96" t="s">
        <v>46</v>
      </c>
      <c r="F60" s="99">
        <f>SUM(F55:F59)</f>
        <v>588800</v>
      </c>
      <c r="H60" s="61"/>
      <c r="I60" s="61"/>
      <c r="J60" s="13"/>
      <c r="K60" s="61"/>
      <c r="L60" s="61"/>
      <c r="M60" s="61"/>
    </row>
    <row r="61" spans="4:13">
      <c r="E61" s="83"/>
      <c r="F61" s="151"/>
    </row>
    <row r="62" spans="4:13">
      <c r="E62" s="96" t="s">
        <v>47</v>
      </c>
      <c r="F62" s="99">
        <f>F53-F60</f>
        <v>-1622334.89</v>
      </c>
      <c r="G62" s="8"/>
    </row>
    <row r="63" spans="4:13">
      <c r="D63" s="247" t="s">
        <v>192</v>
      </c>
      <c r="E63" s="61"/>
      <c r="F63" s="219"/>
      <c r="G63" s="8"/>
    </row>
    <row r="64" spans="4:13">
      <c r="D64" s="247" t="s">
        <v>194</v>
      </c>
      <c r="E64" s="8"/>
      <c r="F64" s="220"/>
      <c r="G64" s="8"/>
    </row>
    <row r="65" spans="1:7">
      <c r="D65" s="8" t="s">
        <v>9</v>
      </c>
      <c r="E65" s="8"/>
      <c r="F65" s="220"/>
      <c r="G65" s="8"/>
    </row>
    <row r="66" spans="1:7">
      <c r="D66" s="8" t="s">
        <v>195</v>
      </c>
      <c r="E66" s="8"/>
      <c r="F66" s="220"/>
      <c r="G66" s="124">
        <f>SUM(E72:F72)</f>
        <v>0</v>
      </c>
    </row>
    <row r="67" spans="1:7">
      <c r="D67" s="8" t="s">
        <v>188</v>
      </c>
      <c r="E67" s="247"/>
      <c r="F67" s="243"/>
      <c r="G67" s="8"/>
    </row>
    <row r="68" spans="1:7">
      <c r="D68" s="8"/>
      <c r="E68" s="247"/>
      <c r="F68" s="244"/>
    </row>
    <row r="69" spans="1:7">
      <c r="E69" s="249"/>
      <c r="F69" s="246"/>
    </row>
    <row r="70" spans="1:7">
      <c r="E70" s="249"/>
      <c r="F70" s="287"/>
    </row>
    <row r="71" spans="1:7">
      <c r="E71" s="249"/>
      <c r="F71" s="287"/>
    </row>
    <row r="72" spans="1:7">
      <c r="E72" s="124"/>
      <c r="F72" s="287"/>
    </row>
    <row r="73" spans="1:7">
      <c r="E73" s="8"/>
    </row>
    <row r="74" spans="1:7">
      <c r="A74" s="268"/>
      <c r="E74" s="8"/>
    </row>
    <row r="75" spans="1:7">
      <c r="E75" s="8"/>
    </row>
    <row r="76" spans="1:7">
      <c r="E76" s="8"/>
    </row>
    <row r="77" spans="1:7">
      <c r="B77" s="235"/>
      <c r="E77" s="8"/>
    </row>
    <row r="78" spans="1:7">
      <c r="E78" s="8"/>
    </row>
    <row r="79" spans="1:7">
      <c r="E79" s="293"/>
    </row>
    <row r="80" spans="1:7">
      <c r="A80" s="269"/>
      <c r="C80" s="155"/>
      <c r="E80" s="8"/>
    </row>
    <row r="81" spans="1:5">
      <c r="E81" s="293"/>
    </row>
    <row r="82" spans="1:5">
      <c r="A82" s="269"/>
      <c r="C82" s="155"/>
      <c r="E82" s="8"/>
    </row>
    <row r="83" spans="1:5">
      <c r="E83" s="293"/>
    </row>
    <row r="84" spans="1:5">
      <c r="A84" s="269"/>
      <c r="C84" s="155"/>
      <c r="E84" s="8"/>
    </row>
    <row r="85" spans="1:5">
      <c r="E85" s="293"/>
    </row>
    <row r="86" spans="1:5">
      <c r="A86" s="269"/>
      <c r="C86" s="155"/>
      <c r="E86" s="8"/>
    </row>
    <row r="87" spans="1:5">
      <c r="E87" s="293"/>
    </row>
    <row r="88" spans="1:5">
      <c r="A88" s="269"/>
      <c r="C88" s="155"/>
      <c r="E88" s="8"/>
    </row>
    <row r="89" spans="1:5">
      <c r="E89" s="293"/>
    </row>
    <row r="90" spans="1:5">
      <c r="A90" s="269"/>
      <c r="C90" s="155"/>
      <c r="E90" s="8"/>
    </row>
    <row r="91" spans="1:5">
      <c r="E91" s="293"/>
    </row>
    <row r="92" spans="1:5">
      <c r="A92" s="269"/>
      <c r="C92" s="155"/>
      <c r="E92" s="8"/>
    </row>
    <row r="93" spans="1:5">
      <c r="E93" s="293"/>
    </row>
    <row r="94" spans="1:5">
      <c r="A94" s="269"/>
      <c r="C94" s="155"/>
      <c r="E94" s="8"/>
    </row>
    <row r="95" spans="1:5">
      <c r="E95" s="293"/>
    </row>
    <row r="96" spans="1:5">
      <c r="A96" s="269"/>
      <c r="C96" s="155"/>
      <c r="E96" s="8"/>
    </row>
    <row r="97" spans="1:5">
      <c r="E97" s="293"/>
    </row>
    <row r="98" spans="1:5">
      <c r="A98" s="269"/>
      <c r="C98" s="155"/>
      <c r="E98" s="8"/>
    </row>
    <row r="99" spans="1:5">
      <c r="E99" s="293"/>
    </row>
    <row r="100" spans="1:5">
      <c r="A100" s="269"/>
      <c r="C100" s="155"/>
      <c r="E100" s="8"/>
    </row>
    <row r="101" spans="1:5">
      <c r="E101" s="293"/>
    </row>
    <row r="102" spans="1:5">
      <c r="A102" s="269"/>
      <c r="C102" s="155"/>
      <c r="E102" s="8"/>
    </row>
    <row r="103" spans="1:5">
      <c r="E103" s="293"/>
    </row>
    <row r="104" spans="1:5">
      <c r="A104" s="269"/>
      <c r="C104" s="155"/>
      <c r="E104" s="8"/>
    </row>
    <row r="105" spans="1:5">
      <c r="E105" s="293"/>
    </row>
    <row r="106" spans="1:5">
      <c r="A106" s="269"/>
      <c r="C106" s="155"/>
      <c r="E106" s="8"/>
    </row>
    <row r="107" spans="1:5">
      <c r="E107" s="293"/>
    </row>
    <row r="108" spans="1:5">
      <c r="A108" s="269"/>
      <c r="C108" s="155"/>
      <c r="E108" s="8"/>
    </row>
    <row r="109" spans="1:5">
      <c r="E109" s="293"/>
    </row>
    <row r="110" spans="1:5">
      <c r="A110" s="269"/>
      <c r="C110" s="155"/>
      <c r="E110" s="8"/>
    </row>
    <row r="111" spans="1:5">
      <c r="E111" s="277"/>
    </row>
    <row r="112" spans="1:5">
      <c r="A112" s="269"/>
      <c r="C112" s="155"/>
      <c r="E112" s="79"/>
    </row>
    <row r="113" spans="1:5">
      <c r="E113" s="277"/>
    </row>
    <row r="114" spans="1:5">
      <c r="A114" s="269"/>
      <c r="C114" s="155"/>
      <c r="E114" s="79"/>
    </row>
    <row r="115" spans="1:5">
      <c r="E115" s="277"/>
    </row>
    <row r="116" spans="1:5">
      <c r="A116" s="269"/>
      <c r="C116" s="155"/>
      <c r="E116" s="79"/>
    </row>
    <row r="117" spans="1:5">
      <c r="E117" s="277"/>
    </row>
    <row r="118" spans="1:5">
      <c r="A118" s="269"/>
      <c r="C118" s="155"/>
      <c r="E118" s="79"/>
    </row>
    <row r="119" spans="1:5">
      <c r="E119" s="277"/>
    </row>
    <row r="120" spans="1:5">
      <c r="A120" s="269"/>
      <c r="C120" s="155"/>
      <c r="E120" s="79"/>
    </row>
    <row r="121" spans="1:5">
      <c r="E121" s="277"/>
    </row>
    <row r="122" spans="1:5">
      <c r="A122" s="269"/>
      <c r="C122" s="155"/>
      <c r="E122" s="79"/>
    </row>
    <row r="123" spans="1:5">
      <c r="E123" s="277"/>
    </row>
    <row r="124" spans="1:5">
      <c r="A124" s="269"/>
      <c r="C124" s="155"/>
    </row>
    <row r="125" spans="1:5">
      <c r="E125" s="155"/>
    </row>
    <row r="126" spans="1:5">
      <c r="A126" s="269"/>
      <c r="C126" s="155"/>
    </row>
    <row r="127" spans="1:5">
      <c r="E127" s="155"/>
    </row>
    <row r="128" spans="1:5">
      <c r="A128" s="269"/>
      <c r="C128" s="155"/>
    </row>
    <row r="129" spans="1:5">
      <c r="E129" s="155"/>
    </row>
    <row r="130" spans="1:5">
      <c r="A130" s="269"/>
      <c r="C130" s="155"/>
    </row>
    <row r="131" spans="1:5">
      <c r="E131" s="155"/>
    </row>
    <row r="132" spans="1:5">
      <c r="A132" s="269"/>
      <c r="C132" s="155"/>
    </row>
    <row r="133" spans="1:5">
      <c r="E133" s="155"/>
    </row>
    <row r="134" spans="1:5">
      <c r="A134" s="269"/>
      <c r="C134" s="155"/>
    </row>
    <row r="135" spans="1:5">
      <c r="E135" s="155"/>
    </row>
    <row r="136" spans="1:5">
      <c r="A136" s="269"/>
      <c r="C136" s="155"/>
    </row>
    <row r="137" spans="1:5">
      <c r="E137" s="155"/>
    </row>
    <row r="138" spans="1:5">
      <c r="A138" s="269"/>
      <c r="C138" s="155"/>
    </row>
    <row r="139" spans="1:5">
      <c r="E139" s="155"/>
    </row>
    <row r="140" spans="1:5">
      <c r="A140" s="269"/>
      <c r="C140" s="155"/>
    </row>
    <row r="141" spans="1:5">
      <c r="E141" s="155"/>
    </row>
    <row r="142" spans="1:5">
      <c r="A142" s="269"/>
      <c r="C142" s="155"/>
    </row>
    <row r="143" spans="1:5">
      <c r="E143" s="155"/>
    </row>
    <row r="144" spans="1:5">
      <c r="A144" s="269"/>
      <c r="C144" s="155"/>
    </row>
    <row r="145" spans="1:5">
      <c r="E145" s="155"/>
    </row>
    <row r="146" spans="1:5">
      <c r="A146" s="269"/>
      <c r="C146" s="155"/>
    </row>
    <row r="147" spans="1:5">
      <c r="E147" s="155"/>
    </row>
    <row r="148" spans="1:5">
      <c r="A148" s="269"/>
      <c r="C148" s="155"/>
    </row>
    <row r="149" spans="1:5">
      <c r="E149" s="155"/>
    </row>
    <row r="150" spans="1:5">
      <c r="A150" s="269"/>
      <c r="C150" s="155"/>
    </row>
    <row r="151" spans="1:5">
      <c r="E151" s="155"/>
    </row>
    <row r="152" spans="1:5">
      <c r="A152" s="269"/>
      <c r="C152" s="155"/>
    </row>
    <row r="153" spans="1:5">
      <c r="E153" s="155"/>
    </row>
    <row r="154" spans="1:5">
      <c r="A154" s="269"/>
      <c r="C154" s="155"/>
    </row>
    <row r="155" spans="1:5">
      <c r="E155" s="155"/>
    </row>
    <row r="156" spans="1:5">
      <c r="A156" s="269"/>
      <c r="C156" s="155"/>
    </row>
    <row r="157" spans="1:5">
      <c r="E157" s="155"/>
    </row>
    <row r="158" spans="1:5">
      <c r="A158" s="269"/>
      <c r="C158" s="155"/>
    </row>
    <row r="159" spans="1:5">
      <c r="E159" s="155"/>
    </row>
    <row r="160" spans="1:5">
      <c r="A160" s="269"/>
      <c r="C160" s="155"/>
    </row>
    <row r="161" spans="1:5">
      <c r="E161" s="155"/>
    </row>
    <row r="162" spans="1:5">
      <c r="A162" s="269"/>
      <c r="C162" s="155"/>
    </row>
    <row r="163" spans="1:5">
      <c r="E163" s="155"/>
    </row>
    <row r="164" spans="1:5">
      <c r="A164" s="269"/>
      <c r="C164" s="155"/>
    </row>
    <row r="165" spans="1:5">
      <c r="E165" s="155"/>
    </row>
    <row r="166" spans="1:5">
      <c r="A166" s="269"/>
      <c r="C166" s="155"/>
    </row>
    <row r="167" spans="1:5">
      <c r="E167" s="155"/>
    </row>
    <row r="168" spans="1:5">
      <c r="A168" s="269"/>
      <c r="C168" s="155"/>
    </row>
    <row r="169" spans="1:5">
      <c r="E169" s="155"/>
    </row>
    <row r="170" spans="1:5">
      <c r="A170" s="269"/>
      <c r="C170" s="155"/>
    </row>
    <row r="171" spans="1:5">
      <c r="E171" s="155"/>
    </row>
    <row r="172" spans="1:5">
      <c r="A172" s="269"/>
      <c r="C172" s="155"/>
    </row>
    <row r="173" spans="1:5">
      <c r="E173" s="155"/>
    </row>
    <row r="174" spans="1:5">
      <c r="A174" s="269"/>
      <c r="C174" s="155"/>
    </row>
    <row r="175" spans="1:5">
      <c r="E175" s="155"/>
    </row>
    <row r="176" spans="1:5">
      <c r="A176" s="269"/>
      <c r="C176" s="155"/>
    </row>
    <row r="177" spans="1:5">
      <c r="E177" s="155"/>
    </row>
    <row r="178" spans="1:5">
      <c r="A178" s="269"/>
      <c r="C178" s="155"/>
    </row>
    <row r="179" spans="1:5">
      <c r="E179" s="155"/>
    </row>
    <row r="180" spans="1:5">
      <c r="A180" s="269"/>
      <c r="C180" s="155"/>
    </row>
    <row r="181" spans="1:5">
      <c r="E181" s="155"/>
    </row>
    <row r="182" spans="1:5">
      <c r="A182" s="269"/>
      <c r="C182" s="155"/>
    </row>
    <row r="183" spans="1:5">
      <c r="E183" s="155"/>
    </row>
    <row r="184" spans="1:5">
      <c r="A184" s="269"/>
      <c r="C184" s="155"/>
    </row>
    <row r="185" spans="1:5">
      <c r="E185" s="155"/>
    </row>
    <row r="186" spans="1:5">
      <c r="A186" s="269"/>
      <c r="C186" s="155"/>
    </row>
    <row r="187" spans="1:5">
      <c r="E187" s="155"/>
    </row>
    <row r="188" spans="1:5">
      <c r="A188" s="269"/>
      <c r="C188" s="155"/>
    </row>
    <row r="189" spans="1:5">
      <c r="E189" s="155"/>
    </row>
    <row r="190" spans="1:5">
      <c r="A190" s="269"/>
      <c r="C190" s="155"/>
    </row>
    <row r="191" spans="1:5">
      <c r="E191" s="155"/>
    </row>
    <row r="192" spans="1:5">
      <c r="A192" s="269"/>
      <c r="C192" s="155"/>
    </row>
    <row r="193" spans="1:5">
      <c r="E193" s="155"/>
    </row>
    <row r="194" spans="1:5">
      <c r="A194" s="269"/>
      <c r="C194" s="155"/>
    </row>
    <row r="195" spans="1:5">
      <c r="E195" s="155"/>
    </row>
    <row r="196" spans="1:5">
      <c r="A196" s="269"/>
      <c r="C196" s="155"/>
    </row>
    <row r="197" spans="1:5">
      <c r="E197" s="155"/>
    </row>
    <row r="198" spans="1:5">
      <c r="A198" s="269"/>
      <c r="C198" s="155"/>
    </row>
    <row r="199" spans="1:5">
      <c r="E199" s="155"/>
    </row>
    <row r="200" spans="1:5">
      <c r="A200" s="269"/>
      <c r="D200" s="155"/>
    </row>
    <row r="201" spans="1:5">
      <c r="E201" s="155"/>
    </row>
    <row r="202" spans="1:5">
      <c r="A202" s="269"/>
      <c r="C202" s="155"/>
    </row>
    <row r="203" spans="1:5">
      <c r="E203" s="155"/>
    </row>
    <row r="204" spans="1:5">
      <c r="A204" s="269"/>
      <c r="C204" s="155"/>
    </row>
    <row r="205" spans="1:5">
      <c r="E205" s="155"/>
    </row>
    <row r="206" spans="1:5">
      <c r="A206" s="269"/>
      <c r="C206" s="155"/>
    </row>
    <row r="207" spans="1:5">
      <c r="E207" s="155"/>
    </row>
    <row r="208" spans="1:5">
      <c r="A208" s="269"/>
      <c r="C208" s="155"/>
    </row>
    <row r="209" spans="1:5">
      <c r="E209" s="155"/>
    </row>
    <row r="210" spans="1:5">
      <c r="A210" s="269"/>
      <c r="C210" s="155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C53-811B-456A-BF8B-D53871CE548A}">
  <dimension ref="A6:R210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34" t="s">
        <v>3</v>
      </c>
      <c r="C14" s="335"/>
      <c r="D14" s="336"/>
      <c r="E14" s="17">
        <f>SUM(E15:E17)</f>
        <v>713521.55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37" t="s">
        <v>5</v>
      </c>
      <c r="C15" s="338"/>
      <c r="D15" s="339"/>
      <c r="E15" s="20">
        <f>J16+J17+J18+J19</f>
        <v>529758.12</v>
      </c>
      <c r="F15" s="153">
        <f>E15+E16+E17</f>
        <v>713521.55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349" t="s">
        <v>7</v>
      </c>
      <c r="C16" s="350"/>
      <c r="D16" s="351"/>
      <c r="E16" s="20">
        <f>G22+G23</f>
        <v>36671.300000000003</v>
      </c>
      <c r="F16" s="153">
        <v>90000</v>
      </c>
      <c r="G16" s="22">
        <v>15428.52</v>
      </c>
      <c r="H16" s="23" t="s">
        <v>8</v>
      </c>
      <c r="I16" s="24"/>
      <c r="J16" s="25">
        <v>33902.559999999998</v>
      </c>
      <c r="K16" s="26" t="s">
        <v>9</v>
      </c>
      <c r="L16" s="13"/>
      <c r="N16" s="3"/>
    </row>
    <row r="17" spans="2:18">
      <c r="B17" s="352" t="s">
        <v>6</v>
      </c>
      <c r="C17" s="353"/>
      <c r="D17" s="354"/>
      <c r="E17" s="28">
        <f>G16+G17+G18</f>
        <v>147092.13</v>
      </c>
      <c r="F17" s="153">
        <f>+F15-F16</f>
        <v>623521.55000000005</v>
      </c>
      <c r="G17" s="22">
        <v>14160.13</v>
      </c>
      <c r="H17" s="29" t="s">
        <v>10</v>
      </c>
      <c r="I17" s="30"/>
      <c r="J17" s="25">
        <v>144971.94</v>
      </c>
      <c r="K17" s="31" t="s">
        <v>10</v>
      </c>
      <c r="N17" s="3"/>
    </row>
    <row r="18" spans="2:18">
      <c r="B18" s="236" t="s">
        <v>187</v>
      </c>
      <c r="C18" s="237"/>
      <c r="D18" s="238"/>
      <c r="E18" s="28">
        <f>+J22</f>
        <v>14541.8</v>
      </c>
      <c r="F18" s="153"/>
      <c r="G18" s="22">
        <v>117503.48</v>
      </c>
      <c r="H18" s="29" t="s">
        <v>12</v>
      </c>
      <c r="I18" s="30"/>
      <c r="J18" s="25">
        <v>128911.91</v>
      </c>
      <c r="K18" s="31" t="s">
        <v>12</v>
      </c>
      <c r="L18" s="152"/>
      <c r="N18" s="3"/>
    </row>
    <row r="19" spans="2:18">
      <c r="B19" s="379" t="s">
        <v>11</v>
      </c>
      <c r="C19" s="380"/>
      <c r="D19" s="381"/>
      <c r="E19" s="20">
        <f>G29+G31+G30+G28</f>
        <v>338332.13000000006</v>
      </c>
      <c r="F19" s="153"/>
      <c r="G19" s="33"/>
      <c r="H19" s="34"/>
      <c r="I19" s="30"/>
      <c r="J19" s="25">
        <v>221971.71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18995338.690000001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SUM(E22:E24)</f>
        <v>46940.41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357</v>
      </c>
      <c r="E22" s="190">
        <v>46940.41</v>
      </c>
      <c r="F22" s="153"/>
      <c r="G22" s="44">
        <v>12564.04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187"/>
      <c r="C23" s="188"/>
      <c r="D23" s="198"/>
      <c r="E23" s="190">
        <v>0</v>
      </c>
      <c r="F23" s="153"/>
      <c r="G23" s="44">
        <v>24107.26</v>
      </c>
      <c r="H23" s="29" t="s">
        <v>18</v>
      </c>
      <c r="I23" s="30"/>
      <c r="J23" s="25"/>
      <c r="K23" s="31"/>
    </row>
    <row r="24" spans="2:18" ht="15" thickBot="1">
      <c r="B24" s="206"/>
      <c r="C24" s="205"/>
      <c r="D24" s="208"/>
      <c r="E24" s="190">
        <v>0</v>
      </c>
      <c r="F24" s="220"/>
      <c r="G24" s="51"/>
      <c r="H24" s="34"/>
      <c r="I24" s="30"/>
      <c r="J24" s="210"/>
      <c r="K24" s="53"/>
      <c r="N24" s="290"/>
    </row>
    <row r="25" spans="2:18" ht="15" thickBot="1">
      <c r="B25" s="46" t="s">
        <v>17</v>
      </c>
      <c r="C25" s="47"/>
      <c r="D25" s="48"/>
      <c r="E25" s="234">
        <v>53000</v>
      </c>
      <c r="F25" s="153">
        <f>+F17-E25</f>
        <v>570521.55000000005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202" t="s">
        <v>349</v>
      </c>
      <c r="C26" s="203"/>
      <c r="D26" s="204"/>
      <c r="E26" s="234">
        <v>0</v>
      </c>
      <c r="F26" s="288">
        <f>SUM(E25:E31)</f>
        <v>303894.8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359</v>
      </c>
      <c r="C27" s="200"/>
      <c r="D27" s="201"/>
      <c r="E27" s="49">
        <v>10894.8</v>
      </c>
      <c r="F27" s="153">
        <f>+F25-F26</f>
        <v>266626.75000000006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199" t="s">
        <v>81</v>
      </c>
      <c r="C28" s="200"/>
      <c r="D28" s="201"/>
      <c r="E28" s="49">
        <v>0</v>
      </c>
      <c r="F28" s="221"/>
      <c r="G28" s="22">
        <f>24039.86-11500-8500</f>
        <v>4039.8600000000006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24</v>
      </c>
      <c r="C29" s="200"/>
      <c r="D29" s="201"/>
      <c r="E29" s="49">
        <v>240000</v>
      </c>
      <c r="F29" s="220"/>
      <c r="G29" s="22">
        <f>477117.27- 154326.09</f>
        <v>322791.18000000005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344" t="s">
        <v>358</v>
      </c>
      <c r="C30" s="345"/>
      <c r="D30" s="346"/>
      <c r="E30" s="49">
        <v>0</v>
      </c>
      <c r="F30" s="220"/>
      <c r="G30" s="67">
        <v>1753.95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63" t="s">
        <v>29</v>
      </c>
      <c r="C31" s="364"/>
      <c r="D31" s="365"/>
      <c r="E31" s="66">
        <v>0</v>
      </c>
      <c r="F31" s="220"/>
      <c r="G31" s="71">
        <f>402002.78-392255.64</f>
        <v>9747.140000000014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79"/>
      <c r="N32" s="269"/>
      <c r="P32" s="155"/>
      <c r="R32" s="155"/>
    </row>
    <row r="33" spans="5:18">
      <c r="E33" s="61"/>
      <c r="F33" s="219"/>
    </row>
    <row r="34" spans="5:18">
      <c r="E34" s="61"/>
      <c r="F34" s="219"/>
      <c r="H34" s="61"/>
      <c r="I34" s="61"/>
      <c r="J34" s="13"/>
      <c r="K34" s="61"/>
      <c r="L34" s="61"/>
      <c r="M34" s="61"/>
      <c r="N34" s="269"/>
      <c r="P34" s="155"/>
      <c r="R34" s="155"/>
    </row>
    <row r="35" spans="5:18">
      <c r="E35" s="8"/>
      <c r="F35" s="220"/>
      <c r="H35" s="61"/>
      <c r="I35" s="61"/>
      <c r="J35" s="13"/>
      <c r="K35" s="61"/>
      <c r="L35" s="61"/>
      <c r="M35" s="61"/>
    </row>
    <row r="36" spans="5:18" s="61" customFormat="1" ht="15" customHeight="1">
      <c r="E36" s="181" t="s">
        <v>354</v>
      </c>
      <c r="F36" s="222"/>
      <c r="G36" s="8"/>
      <c r="H36" s="13"/>
      <c r="J36" s="13"/>
      <c r="K36" s="83"/>
      <c r="L36" s="88"/>
      <c r="N36" s="272"/>
      <c r="P36" s="273"/>
      <c r="R36" s="273"/>
    </row>
    <row r="37" spans="5:18" s="61" customFormat="1" ht="15" customHeight="1">
      <c r="E37" s="181"/>
      <c r="F37" s="222"/>
      <c r="G37" s="181"/>
      <c r="H37" s="161"/>
      <c r="I37" s="197"/>
      <c r="J37" s="13"/>
      <c r="K37" s="83"/>
      <c r="L37" s="161"/>
      <c r="M37" s="197"/>
    </row>
    <row r="38" spans="5:18" s="61" customFormat="1" ht="15" customHeight="1">
      <c r="E38" s="8" t="s">
        <v>34</v>
      </c>
      <c r="F38" s="222">
        <f>F17</f>
        <v>623521.55000000005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5:18" s="61" customFormat="1" ht="15" customHeight="1">
      <c r="E39" s="8" t="s">
        <v>35</v>
      </c>
      <c r="F39" s="222">
        <f>+E19</f>
        <v>338332.13000000006</v>
      </c>
      <c r="G39" s="86"/>
      <c r="I39" s="197"/>
      <c r="J39" s="13"/>
      <c r="K39" s="85"/>
      <c r="M39" s="197"/>
    </row>
    <row r="40" spans="5:18" s="61" customFormat="1" ht="15" customHeight="1">
      <c r="E40" s="8" t="s">
        <v>36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5:18" s="61" customFormat="1" ht="15" customHeight="1">
      <c r="E41" s="8" t="s">
        <v>37</v>
      </c>
      <c r="F41" s="222">
        <v>0</v>
      </c>
      <c r="G41" s="9"/>
      <c r="I41" s="197"/>
      <c r="J41" s="13"/>
      <c r="M41" s="197"/>
    </row>
    <row r="42" spans="5:18" s="61" customFormat="1" ht="15" customHeight="1">
      <c r="E42" s="182" t="s">
        <v>38</v>
      </c>
      <c r="F42" s="223">
        <f>SUM(F38:F41)</f>
        <v>961853.68000000017</v>
      </c>
      <c r="G42" s="9"/>
      <c r="I42" s="197"/>
      <c r="J42" s="13"/>
      <c r="M42" s="197"/>
      <c r="N42" s="272"/>
      <c r="P42" s="273"/>
      <c r="R42" s="273"/>
    </row>
    <row r="43" spans="5:18" s="61" customFormat="1" ht="15" customHeight="1">
      <c r="E43" s="183"/>
      <c r="F43" s="224"/>
      <c r="G43" s="9"/>
      <c r="H43" s="163"/>
      <c r="I43" s="229"/>
      <c r="J43" s="13"/>
      <c r="L43" s="163"/>
      <c r="M43" s="229"/>
    </row>
    <row r="44" spans="5:18" s="61" customFormat="1" ht="15" customHeight="1">
      <c r="E44" s="183" t="s">
        <v>152</v>
      </c>
      <c r="F44" s="224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5:18" s="61" customFormat="1" ht="15" customHeight="1">
      <c r="E45" s="183" t="s">
        <v>355</v>
      </c>
      <c r="F45" s="224">
        <v>1300000</v>
      </c>
      <c r="G45" s="9"/>
      <c r="H45" s="165"/>
      <c r="I45" s="230"/>
      <c r="J45" s="13"/>
    </row>
    <row r="46" spans="5:18" s="61" customFormat="1" ht="15" customHeight="1">
      <c r="E46" s="183" t="s">
        <v>356</v>
      </c>
      <c r="F46" s="224">
        <v>120000</v>
      </c>
      <c r="G46" s="9"/>
      <c r="H46" s="165"/>
      <c r="I46" s="230"/>
      <c r="J46" s="13"/>
    </row>
    <row r="47" spans="5:18" s="61" customFormat="1" ht="15" customHeight="1">
      <c r="E47" s="183" t="s">
        <v>64</v>
      </c>
      <c r="F47" s="224">
        <v>0</v>
      </c>
      <c r="G47" s="9"/>
      <c r="H47" s="165"/>
      <c r="I47" s="230"/>
      <c r="J47" s="13"/>
    </row>
    <row r="48" spans="5:18" s="61" customFormat="1" ht="15" customHeight="1">
      <c r="E48" s="183" t="s">
        <v>69</v>
      </c>
      <c r="F48" s="224">
        <v>60000</v>
      </c>
      <c r="G48" s="9"/>
      <c r="H48" s="165"/>
      <c r="I48" s="230"/>
      <c r="J48" s="13"/>
    </row>
    <row r="49" spans="4:13" s="61" customFormat="1" ht="15" customHeight="1">
      <c r="E49" s="116" t="s">
        <v>24</v>
      </c>
      <c r="F49" s="220">
        <f>220000+20000</f>
        <v>240000</v>
      </c>
      <c r="G49" s="9"/>
      <c r="H49" s="165"/>
      <c r="I49" s="230"/>
      <c r="J49" s="13"/>
    </row>
    <row r="50" spans="4:13" s="61" customFormat="1">
      <c r="E50" s="116" t="s">
        <v>22</v>
      </c>
      <c r="F50" s="220">
        <v>50000</v>
      </c>
      <c r="G50" s="8"/>
      <c r="H50" s="91"/>
      <c r="I50" s="231"/>
      <c r="J50" s="13"/>
    </row>
    <row r="51" spans="4:13" s="61" customFormat="1">
      <c r="E51" s="116" t="s">
        <v>40</v>
      </c>
      <c r="F51" s="226">
        <f>200000-90000</f>
        <v>110000</v>
      </c>
      <c r="G51" s="8"/>
      <c r="H51" s="96"/>
      <c r="I51" s="231"/>
      <c r="J51" s="262"/>
    </row>
    <row r="52" spans="4:13" s="61" customFormat="1">
      <c r="E52" s="118" t="s">
        <v>41</v>
      </c>
      <c r="F52" s="225">
        <f>SUM(F44:F51)</f>
        <v>2005000</v>
      </c>
      <c r="G52" s="82"/>
      <c r="H52" s="83"/>
      <c r="I52" s="228"/>
      <c r="J52" s="13"/>
    </row>
    <row r="53" spans="4:13" s="61" customFormat="1">
      <c r="E53" s="118" t="s">
        <v>42</v>
      </c>
      <c r="F53" s="225">
        <f>F42-F52</f>
        <v>-1043146.3199999998</v>
      </c>
      <c r="G53" s="82"/>
      <c r="H53" s="83"/>
      <c r="I53" s="233"/>
      <c r="J53" s="13"/>
      <c r="L53" s="91"/>
      <c r="M53" s="232"/>
    </row>
    <row r="54" spans="4:13" s="61" customFormat="1">
      <c r="E54" s="8"/>
      <c r="F54" s="154"/>
      <c r="G54" s="82"/>
      <c r="H54" s="83"/>
      <c r="I54" s="233"/>
      <c r="J54" s="13"/>
      <c r="L54" s="91"/>
      <c r="M54" s="232"/>
    </row>
    <row r="55" spans="4:13" s="61" customFormat="1">
      <c r="E55" s="82" t="s">
        <v>43</v>
      </c>
      <c r="F55" s="80">
        <f>43800+180000</f>
        <v>223800</v>
      </c>
      <c r="G55" s="82"/>
      <c r="H55" s="83"/>
      <c r="I55" s="233"/>
      <c r="J55" s="13"/>
      <c r="L55" s="96"/>
      <c r="M55" s="231"/>
    </row>
    <row r="56" spans="4:13" s="61" customFormat="1">
      <c r="E56" s="82" t="s">
        <v>44</v>
      </c>
      <c r="F56" s="80">
        <v>365000</v>
      </c>
      <c r="G56" s="82"/>
      <c r="H56" s="96"/>
      <c r="I56" s="228"/>
      <c r="J56" s="13"/>
      <c r="L56" s="96"/>
      <c r="M56" s="233"/>
    </row>
    <row r="57" spans="4:13" s="61" customFormat="1">
      <c r="E57" s="82" t="s">
        <v>45</v>
      </c>
      <c r="F57" s="117">
        <v>0</v>
      </c>
      <c r="G57" s="82"/>
      <c r="H57" s="83"/>
      <c r="I57" s="233"/>
      <c r="J57" s="13"/>
    </row>
    <row r="58" spans="4:13" s="61" customFormat="1">
      <c r="E58" s="82" t="s">
        <v>205</v>
      </c>
      <c r="F58" s="117">
        <v>0</v>
      </c>
      <c r="G58"/>
      <c r="H58" s="96"/>
      <c r="I58" s="219"/>
      <c r="J58" s="13"/>
      <c r="L58" s="83"/>
      <c r="M58" s="228"/>
    </row>
    <row r="59" spans="4:13">
      <c r="E59" s="82" t="s">
        <v>206</v>
      </c>
      <c r="F59" s="117">
        <v>0</v>
      </c>
      <c r="H59" s="61"/>
      <c r="I59" s="61"/>
      <c r="J59" s="13"/>
      <c r="K59" s="61"/>
      <c r="L59" s="61"/>
      <c r="M59" s="61"/>
    </row>
    <row r="60" spans="4:13">
      <c r="E60" s="118" t="s">
        <v>46</v>
      </c>
      <c r="F60" s="120">
        <f>SUM(F55:F59)</f>
        <v>588800</v>
      </c>
      <c r="H60" s="61"/>
      <c r="I60" s="61"/>
      <c r="J60" s="13"/>
      <c r="K60" s="61"/>
      <c r="L60" s="61"/>
      <c r="M60" s="61"/>
    </row>
    <row r="61" spans="4:13">
      <c r="E61" s="82"/>
      <c r="F61" s="80"/>
    </row>
    <row r="62" spans="4:13">
      <c r="E62" s="118" t="s">
        <v>47</v>
      </c>
      <c r="F62" s="120">
        <f>F53-F60</f>
        <v>-1631946.3199999998</v>
      </c>
      <c r="G62" s="8"/>
    </row>
    <row r="63" spans="4:13">
      <c r="D63" s="247" t="s">
        <v>192</v>
      </c>
      <c r="E63" s="8"/>
      <c r="F63" s="220"/>
      <c r="G63" s="8"/>
    </row>
    <row r="64" spans="4:13">
      <c r="D64" s="247" t="s">
        <v>194</v>
      </c>
      <c r="E64" s="8"/>
      <c r="F64" s="220"/>
      <c r="G64" s="8"/>
    </row>
    <row r="65" spans="1:7">
      <c r="D65" s="8" t="s">
        <v>9</v>
      </c>
      <c r="E65" s="8"/>
      <c r="F65" s="220"/>
      <c r="G65" s="8"/>
    </row>
    <row r="66" spans="1:7">
      <c r="D66" s="8" t="s">
        <v>195</v>
      </c>
      <c r="E66" s="8"/>
      <c r="F66" s="220"/>
      <c r="G66" s="124">
        <f>SUM(E72:F72)</f>
        <v>0</v>
      </c>
    </row>
    <row r="67" spans="1:7">
      <c r="D67" s="8" t="s">
        <v>188</v>
      </c>
      <c r="E67" s="247"/>
      <c r="F67" s="243"/>
      <c r="G67" s="8"/>
    </row>
    <row r="68" spans="1:7">
      <c r="D68" s="8"/>
      <c r="E68" s="247"/>
      <c r="F68" s="244"/>
    </row>
    <row r="69" spans="1:7">
      <c r="E69" s="249"/>
      <c r="F69" s="246"/>
    </row>
    <row r="70" spans="1:7">
      <c r="E70" s="249"/>
      <c r="F70" s="287"/>
    </row>
    <row r="71" spans="1:7">
      <c r="E71" s="249"/>
      <c r="F71" s="287"/>
    </row>
    <row r="72" spans="1:7">
      <c r="E72" s="124"/>
      <c r="F72" s="287"/>
    </row>
    <row r="73" spans="1:7">
      <c r="E73" s="8"/>
    </row>
    <row r="74" spans="1:7">
      <c r="A74" s="268"/>
      <c r="E74" s="8"/>
    </row>
    <row r="75" spans="1:7">
      <c r="E75" s="8"/>
    </row>
    <row r="76" spans="1:7">
      <c r="E76" s="8"/>
    </row>
    <row r="77" spans="1:7">
      <c r="B77" s="235"/>
      <c r="E77" s="8"/>
    </row>
    <row r="78" spans="1:7">
      <c r="E78" s="8"/>
    </row>
    <row r="79" spans="1:7">
      <c r="E79" s="293"/>
    </row>
    <row r="80" spans="1:7">
      <c r="A80" s="269"/>
      <c r="C80" s="155"/>
      <c r="E80" s="8"/>
    </row>
    <row r="81" spans="1:5">
      <c r="E81" s="293"/>
    </row>
    <row r="82" spans="1:5">
      <c r="A82" s="269"/>
      <c r="C82" s="155"/>
      <c r="E82" s="8"/>
    </row>
    <row r="83" spans="1:5">
      <c r="E83" s="293"/>
    </row>
    <row r="84" spans="1:5">
      <c r="A84" s="269"/>
      <c r="C84" s="155"/>
      <c r="E84" s="8"/>
    </row>
    <row r="85" spans="1:5">
      <c r="E85" s="293"/>
    </row>
    <row r="86" spans="1:5">
      <c r="A86" s="269"/>
      <c r="C86" s="155"/>
      <c r="E86" s="8"/>
    </row>
    <row r="87" spans="1:5">
      <c r="E87" s="293"/>
    </row>
    <row r="88" spans="1:5">
      <c r="A88" s="269"/>
      <c r="C88" s="155"/>
      <c r="E88" s="8"/>
    </row>
    <row r="89" spans="1:5">
      <c r="E89" s="293"/>
    </row>
    <row r="90" spans="1:5">
      <c r="A90" s="269"/>
      <c r="C90" s="155"/>
      <c r="E90" s="8"/>
    </row>
    <row r="91" spans="1:5">
      <c r="E91" s="293"/>
    </row>
    <row r="92" spans="1:5">
      <c r="A92" s="269"/>
      <c r="C92" s="155"/>
      <c r="E92" s="8"/>
    </row>
    <row r="93" spans="1:5">
      <c r="E93" s="293"/>
    </row>
    <row r="94" spans="1:5">
      <c r="A94" s="269"/>
      <c r="C94" s="155"/>
      <c r="E94" s="8"/>
    </row>
    <row r="95" spans="1:5">
      <c r="E95" s="293"/>
    </row>
    <row r="96" spans="1:5">
      <c r="A96" s="269"/>
      <c r="C96" s="155"/>
      <c r="E96" s="8"/>
    </row>
    <row r="97" spans="1:5">
      <c r="E97" s="293"/>
    </row>
    <row r="98" spans="1:5">
      <c r="A98" s="269"/>
      <c r="C98" s="155"/>
      <c r="E98" s="8"/>
    </row>
    <row r="99" spans="1:5">
      <c r="E99" s="293"/>
    </row>
    <row r="100" spans="1:5">
      <c r="A100" s="269"/>
      <c r="C100" s="155"/>
      <c r="E100" s="8"/>
    </row>
    <row r="101" spans="1:5">
      <c r="E101" s="293"/>
    </row>
    <row r="102" spans="1:5">
      <c r="A102" s="269"/>
      <c r="C102" s="155"/>
      <c r="E102" s="8"/>
    </row>
    <row r="103" spans="1:5">
      <c r="E103" s="293"/>
    </row>
    <row r="104" spans="1:5">
      <c r="A104" s="269"/>
      <c r="C104" s="155"/>
      <c r="E104" s="8"/>
    </row>
    <row r="105" spans="1:5">
      <c r="E105" s="293"/>
    </row>
    <row r="106" spans="1:5">
      <c r="A106" s="269"/>
      <c r="C106" s="155"/>
      <c r="E106" s="8"/>
    </row>
    <row r="107" spans="1:5">
      <c r="E107" s="293"/>
    </row>
    <row r="108" spans="1:5">
      <c r="A108" s="269"/>
      <c r="C108" s="155"/>
      <c r="E108" s="8"/>
    </row>
    <row r="109" spans="1:5">
      <c r="E109" s="293"/>
    </row>
    <row r="110" spans="1:5">
      <c r="A110" s="269"/>
      <c r="C110" s="155"/>
      <c r="E110" s="8"/>
    </row>
    <row r="111" spans="1:5">
      <c r="E111" s="277"/>
    </row>
    <row r="112" spans="1:5">
      <c r="A112" s="269"/>
      <c r="C112" s="155"/>
      <c r="E112" s="79"/>
    </row>
    <row r="113" spans="1:5">
      <c r="E113" s="277"/>
    </row>
    <row r="114" spans="1:5">
      <c r="A114" s="269"/>
      <c r="C114" s="155"/>
      <c r="E114" s="79"/>
    </row>
    <row r="115" spans="1:5">
      <c r="E115" s="277"/>
    </row>
    <row r="116" spans="1:5">
      <c r="A116" s="269"/>
      <c r="C116" s="155"/>
      <c r="E116" s="79"/>
    </row>
    <row r="117" spans="1:5">
      <c r="E117" s="277"/>
    </row>
    <row r="118" spans="1:5">
      <c r="A118" s="269"/>
      <c r="C118" s="155"/>
      <c r="E118" s="79"/>
    </row>
    <row r="119" spans="1:5">
      <c r="E119" s="277"/>
    </row>
    <row r="120" spans="1:5">
      <c r="A120" s="269"/>
      <c r="C120" s="155"/>
      <c r="E120" s="79"/>
    </row>
    <row r="121" spans="1:5">
      <c r="E121" s="277"/>
    </row>
    <row r="122" spans="1:5">
      <c r="A122" s="269"/>
      <c r="C122" s="155"/>
      <c r="E122" s="79"/>
    </row>
    <row r="123" spans="1:5">
      <c r="E123" s="277"/>
    </row>
    <row r="124" spans="1:5">
      <c r="A124" s="269"/>
      <c r="C124" s="155"/>
    </row>
    <row r="125" spans="1:5">
      <c r="E125" s="155"/>
    </row>
    <row r="126" spans="1:5">
      <c r="A126" s="269"/>
      <c r="C126" s="155"/>
    </row>
    <row r="127" spans="1:5">
      <c r="E127" s="155"/>
    </row>
    <row r="128" spans="1:5">
      <c r="A128" s="269"/>
      <c r="C128" s="155"/>
    </row>
    <row r="129" spans="1:5">
      <c r="E129" s="155"/>
    </row>
    <row r="130" spans="1:5">
      <c r="A130" s="269"/>
      <c r="C130" s="155"/>
    </row>
    <row r="131" spans="1:5">
      <c r="E131" s="155"/>
    </row>
    <row r="132" spans="1:5">
      <c r="A132" s="269"/>
      <c r="C132" s="155"/>
    </row>
    <row r="133" spans="1:5">
      <c r="E133" s="155"/>
    </row>
    <row r="134" spans="1:5">
      <c r="A134" s="269"/>
      <c r="C134" s="155"/>
    </row>
    <row r="135" spans="1:5">
      <c r="E135" s="155"/>
    </row>
    <row r="136" spans="1:5">
      <c r="A136" s="269"/>
      <c r="C136" s="155"/>
    </row>
    <row r="137" spans="1:5">
      <c r="E137" s="155"/>
    </row>
    <row r="138" spans="1:5">
      <c r="A138" s="269"/>
      <c r="C138" s="155"/>
    </row>
    <row r="139" spans="1:5">
      <c r="E139" s="155"/>
    </row>
    <row r="140" spans="1:5">
      <c r="A140" s="269"/>
      <c r="C140" s="155"/>
    </row>
    <row r="141" spans="1:5">
      <c r="E141" s="155"/>
    </row>
    <row r="142" spans="1:5">
      <c r="A142" s="269"/>
      <c r="C142" s="155"/>
    </row>
    <row r="143" spans="1:5">
      <c r="E143" s="155"/>
    </row>
    <row r="144" spans="1:5">
      <c r="A144" s="269"/>
      <c r="C144" s="155"/>
    </row>
    <row r="145" spans="1:5">
      <c r="E145" s="155"/>
    </row>
    <row r="146" spans="1:5">
      <c r="A146" s="269"/>
      <c r="C146" s="155"/>
    </row>
    <row r="147" spans="1:5">
      <c r="E147" s="155"/>
    </row>
    <row r="148" spans="1:5">
      <c r="A148" s="269"/>
      <c r="C148" s="155"/>
    </row>
    <row r="149" spans="1:5">
      <c r="E149" s="155"/>
    </row>
    <row r="150" spans="1:5">
      <c r="A150" s="269"/>
      <c r="C150" s="155"/>
    </row>
    <row r="151" spans="1:5">
      <c r="E151" s="155"/>
    </row>
    <row r="152" spans="1:5">
      <c r="A152" s="269"/>
      <c r="C152" s="155"/>
    </row>
    <row r="153" spans="1:5">
      <c r="E153" s="155"/>
    </row>
    <row r="154" spans="1:5">
      <c r="A154" s="269"/>
      <c r="C154" s="155"/>
    </row>
    <row r="155" spans="1:5">
      <c r="E155" s="155"/>
    </row>
    <row r="156" spans="1:5">
      <c r="A156" s="269"/>
      <c r="C156" s="155"/>
    </row>
    <row r="157" spans="1:5">
      <c r="E157" s="155"/>
    </row>
    <row r="158" spans="1:5">
      <c r="A158" s="269"/>
      <c r="C158" s="155"/>
    </row>
    <row r="159" spans="1:5">
      <c r="E159" s="155"/>
    </row>
    <row r="160" spans="1:5">
      <c r="A160" s="269"/>
      <c r="C160" s="155"/>
    </row>
    <row r="161" spans="1:5">
      <c r="E161" s="155"/>
    </row>
    <row r="162" spans="1:5">
      <c r="A162" s="269"/>
      <c r="C162" s="155"/>
    </row>
    <row r="163" spans="1:5">
      <c r="E163" s="155"/>
    </row>
    <row r="164" spans="1:5">
      <c r="A164" s="269"/>
      <c r="C164" s="155"/>
    </row>
    <row r="165" spans="1:5">
      <c r="E165" s="155"/>
    </row>
    <row r="166" spans="1:5">
      <c r="A166" s="269"/>
      <c r="C166" s="155"/>
    </row>
    <row r="167" spans="1:5">
      <c r="E167" s="155"/>
    </row>
    <row r="168" spans="1:5">
      <c r="A168" s="269"/>
      <c r="C168" s="155"/>
    </row>
    <row r="169" spans="1:5">
      <c r="E169" s="155"/>
    </row>
    <row r="170" spans="1:5">
      <c r="A170" s="269"/>
      <c r="C170" s="155"/>
    </row>
    <row r="171" spans="1:5">
      <c r="E171" s="155"/>
    </row>
    <row r="172" spans="1:5">
      <c r="A172" s="269"/>
      <c r="C172" s="155"/>
    </row>
    <row r="173" spans="1:5">
      <c r="E173" s="155"/>
    </row>
    <row r="174" spans="1:5">
      <c r="A174" s="269"/>
      <c r="C174" s="155"/>
    </row>
    <row r="175" spans="1:5">
      <c r="E175" s="155"/>
    </row>
    <row r="176" spans="1:5">
      <c r="A176" s="269"/>
      <c r="C176" s="155"/>
    </row>
    <row r="177" spans="1:5">
      <c r="E177" s="155"/>
    </row>
    <row r="178" spans="1:5">
      <c r="A178" s="269"/>
      <c r="C178" s="155"/>
    </row>
    <row r="179" spans="1:5">
      <c r="E179" s="155"/>
    </row>
    <row r="180" spans="1:5">
      <c r="A180" s="269"/>
      <c r="C180" s="155"/>
    </row>
    <row r="181" spans="1:5">
      <c r="E181" s="155"/>
    </row>
    <row r="182" spans="1:5">
      <c r="A182" s="269"/>
      <c r="C182" s="155"/>
    </row>
    <row r="183" spans="1:5">
      <c r="E183" s="155"/>
    </row>
    <row r="184" spans="1:5">
      <c r="A184" s="269"/>
      <c r="C184" s="155"/>
    </row>
    <row r="185" spans="1:5">
      <c r="E185" s="155"/>
    </row>
    <row r="186" spans="1:5">
      <c r="A186" s="269"/>
      <c r="C186" s="155"/>
    </row>
    <row r="187" spans="1:5">
      <c r="E187" s="155"/>
    </row>
    <row r="188" spans="1:5">
      <c r="A188" s="269"/>
      <c r="C188" s="155"/>
    </row>
    <row r="189" spans="1:5">
      <c r="E189" s="155"/>
    </row>
    <row r="190" spans="1:5">
      <c r="A190" s="269"/>
      <c r="C190" s="155"/>
    </row>
    <row r="191" spans="1:5">
      <c r="E191" s="155"/>
    </row>
    <row r="192" spans="1:5">
      <c r="A192" s="269"/>
      <c r="C192" s="155"/>
    </row>
    <row r="193" spans="1:5">
      <c r="E193" s="155"/>
    </row>
    <row r="194" spans="1:5">
      <c r="A194" s="269"/>
      <c r="C194" s="155"/>
    </row>
    <row r="195" spans="1:5">
      <c r="E195" s="155"/>
    </row>
    <row r="196" spans="1:5">
      <c r="A196" s="269"/>
      <c r="C196" s="155"/>
    </row>
    <row r="197" spans="1:5">
      <c r="E197" s="155"/>
    </row>
    <row r="198" spans="1:5">
      <c r="A198" s="269"/>
      <c r="C198" s="155"/>
    </row>
    <row r="199" spans="1:5">
      <c r="E199" s="155"/>
    </row>
    <row r="200" spans="1:5">
      <c r="A200" s="269"/>
      <c r="D200" s="155"/>
    </row>
    <row r="201" spans="1:5">
      <c r="E201" s="155"/>
    </row>
    <row r="202" spans="1:5">
      <c r="A202" s="269"/>
      <c r="C202" s="155"/>
    </row>
    <row r="203" spans="1:5">
      <c r="E203" s="155"/>
    </row>
    <row r="204" spans="1:5">
      <c r="A204" s="269"/>
      <c r="C204" s="155"/>
    </row>
    <row r="205" spans="1:5">
      <c r="E205" s="155"/>
    </row>
    <row r="206" spans="1:5">
      <c r="A206" s="269"/>
      <c r="C206" s="155"/>
    </row>
    <row r="207" spans="1:5">
      <c r="E207" s="155"/>
    </row>
    <row r="208" spans="1:5">
      <c r="A208" s="269"/>
      <c r="C208" s="155"/>
    </row>
    <row r="209" spans="1:5">
      <c r="E209" s="155"/>
    </row>
    <row r="210" spans="1:5">
      <c r="A210" s="269"/>
      <c r="C210" s="155"/>
    </row>
  </sheetData>
  <mergeCells count="16"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E6D6F-ED06-4C78-883E-267957C0C5CA}">
  <dimension ref="B6:P61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79" customWidth="1"/>
    <col min="7" max="7" width="15.7265625" customWidth="1"/>
    <col min="8" max="8" width="19.7265625" customWidth="1"/>
    <col min="9" max="9" width="1.453125" customWidth="1"/>
    <col min="10" max="10" width="24.26953125" customWidth="1"/>
    <col min="11" max="11" width="22.26953125" bestFit="1" customWidth="1"/>
    <col min="12" max="12" width="20.26953125" bestFit="1" customWidth="1"/>
    <col min="13" max="13" width="16.269531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3" s="8" customFormat="1" ht="18">
      <c r="B6" s="5"/>
      <c r="C6" s="5"/>
      <c r="D6" s="5"/>
      <c r="E6" s="6" t="s">
        <v>0</v>
      </c>
      <c r="F6" s="7"/>
      <c r="G6" s="5"/>
      <c r="H6" s="5"/>
      <c r="I6" s="5"/>
      <c r="J6" s="5"/>
      <c r="K6" s="5"/>
    </row>
    <row r="7" spans="2:13">
      <c r="B7" s="1"/>
      <c r="C7" s="1"/>
      <c r="D7" s="1"/>
      <c r="E7" s="1"/>
      <c r="F7" s="2"/>
      <c r="G7" s="1"/>
      <c r="H7" s="1"/>
      <c r="I7" s="1"/>
      <c r="J7" s="1"/>
      <c r="K7" s="1"/>
    </row>
    <row r="8" spans="2:13">
      <c r="B8" s="1"/>
      <c r="C8" s="1"/>
      <c r="D8" s="1"/>
      <c r="E8" s="1"/>
      <c r="F8" s="2"/>
      <c r="G8" s="1"/>
      <c r="H8" s="1"/>
      <c r="I8" s="4"/>
      <c r="J8" s="1"/>
      <c r="K8" s="1"/>
    </row>
    <row r="9" spans="2:13">
      <c r="B9" s="1"/>
      <c r="C9" s="1"/>
      <c r="D9" s="1"/>
      <c r="E9" s="1"/>
      <c r="F9" s="2"/>
      <c r="G9" s="1"/>
      <c r="H9" s="1"/>
      <c r="I9" s="4"/>
      <c r="J9" s="1"/>
      <c r="K9" s="1"/>
    </row>
    <row r="10" spans="2:13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3" ht="15" thickBot="1">
      <c r="B11" s="1"/>
      <c r="C11" s="1"/>
      <c r="D11" s="1"/>
      <c r="E11" s="1"/>
      <c r="F11" s="2"/>
      <c r="G11" s="1"/>
      <c r="H11" s="1"/>
      <c r="I11" s="1"/>
      <c r="J11" s="1"/>
      <c r="K11" s="1"/>
    </row>
    <row r="12" spans="2:13" ht="18" thickBot="1">
      <c r="B12" s="331" t="s">
        <v>2</v>
      </c>
      <c r="C12" s="332"/>
      <c r="D12" s="332"/>
      <c r="E12" s="333"/>
      <c r="F12" s="12"/>
      <c r="G12" s="1"/>
      <c r="H12" s="1"/>
      <c r="I12" s="1"/>
      <c r="J12" s="1"/>
      <c r="K12" s="1"/>
      <c r="L12" s="13"/>
      <c r="M12" t="s">
        <v>20</v>
      </c>
    </row>
    <row r="13" spans="2:13" ht="18" thickBot="1">
      <c r="B13" s="1"/>
      <c r="C13" s="1"/>
      <c r="D13" s="1"/>
      <c r="E13" s="1"/>
      <c r="F13" s="123"/>
      <c r="G13" s="11"/>
      <c r="H13" s="11"/>
      <c r="I13" s="11"/>
      <c r="J13" s="15"/>
      <c r="K13" s="16"/>
      <c r="L13" s="13"/>
    </row>
    <row r="14" spans="2:13" ht="15" thickBot="1">
      <c r="B14" s="334" t="s">
        <v>3</v>
      </c>
      <c r="C14" s="335"/>
      <c r="D14" s="336"/>
      <c r="E14" s="17">
        <f>SUM(E15:E17)</f>
        <v>379582.23</v>
      </c>
      <c r="F14" s="18"/>
      <c r="G14" s="331" t="s">
        <v>4</v>
      </c>
      <c r="H14" s="332"/>
      <c r="I14" s="332"/>
      <c r="J14" s="332"/>
      <c r="K14" s="333"/>
      <c r="L14" s="19"/>
    </row>
    <row r="15" spans="2:13">
      <c r="B15" s="337" t="s">
        <v>5</v>
      </c>
      <c r="C15" s="338"/>
      <c r="D15" s="339"/>
      <c r="E15" s="20">
        <f>J16+J17+J18+J19</f>
        <v>118517.62999999998</v>
      </c>
      <c r="F15" s="102">
        <f>E15+E16+E17</f>
        <v>379582.23</v>
      </c>
      <c r="G15" s="340" t="s">
        <v>6</v>
      </c>
      <c r="H15" s="341"/>
      <c r="I15" s="21"/>
      <c r="J15" s="342" t="s">
        <v>5</v>
      </c>
      <c r="K15" s="343"/>
      <c r="L15" s="13"/>
    </row>
    <row r="16" spans="2:13">
      <c r="B16" s="349" t="s">
        <v>7</v>
      </c>
      <c r="C16" s="350"/>
      <c r="D16" s="351"/>
      <c r="E16" s="20">
        <f>G21+G22</f>
        <v>30673.35</v>
      </c>
      <c r="F16" s="125">
        <v>90000</v>
      </c>
      <c r="G16" s="22">
        <v>12592.59</v>
      </c>
      <c r="H16" s="23" t="s">
        <v>8</v>
      </c>
      <c r="I16" s="24"/>
      <c r="J16" s="25">
        <v>10325.290000000001</v>
      </c>
      <c r="K16" s="26" t="s">
        <v>9</v>
      </c>
      <c r="L16" s="13"/>
    </row>
    <row r="17" spans="2:14">
      <c r="B17" s="352" t="s">
        <v>6</v>
      </c>
      <c r="C17" s="353"/>
      <c r="D17" s="354"/>
      <c r="E17" s="28">
        <f>G16+G17+G18</f>
        <v>230391.25</v>
      </c>
      <c r="F17" s="125">
        <f>F15-F16</f>
        <v>289582.23</v>
      </c>
      <c r="G17" s="22">
        <v>170900.81</v>
      </c>
      <c r="H17" s="29" t="s">
        <v>10</v>
      </c>
      <c r="I17" s="30"/>
      <c r="J17" s="25">
        <v>86619.79</v>
      </c>
      <c r="K17" s="31" t="s">
        <v>10</v>
      </c>
      <c r="L17" s="13"/>
    </row>
    <row r="18" spans="2:14">
      <c r="B18" s="355" t="s">
        <v>11</v>
      </c>
      <c r="C18" s="356"/>
      <c r="D18" s="357"/>
      <c r="E18" s="20">
        <f>G28+G30+G29+G27</f>
        <v>1720205.88</v>
      </c>
      <c r="F18" s="126"/>
      <c r="G18" s="22">
        <v>46897.85</v>
      </c>
      <c r="H18" s="29" t="s">
        <v>12</v>
      </c>
      <c r="I18" s="30"/>
      <c r="J18" s="25">
        <v>9928.76</v>
      </c>
      <c r="K18" s="31" t="s">
        <v>12</v>
      </c>
      <c r="L18" s="32"/>
    </row>
    <row r="19" spans="2:14">
      <c r="B19" s="344" t="s">
        <v>13</v>
      </c>
      <c r="C19" s="345"/>
      <c r="D19" s="346"/>
      <c r="E19" s="20">
        <v>11278703.310000001</v>
      </c>
      <c r="F19" s="125"/>
      <c r="G19" s="33"/>
      <c r="H19" s="34"/>
      <c r="I19" s="30"/>
      <c r="J19" s="25">
        <v>11643.79</v>
      </c>
      <c r="K19" s="31" t="s">
        <v>14</v>
      </c>
      <c r="L19" s="13"/>
    </row>
    <row r="20" spans="2:14">
      <c r="B20" s="358" t="s">
        <v>15</v>
      </c>
      <c r="C20" s="359"/>
      <c r="D20" s="360"/>
      <c r="E20" s="35">
        <f>SUM(E21:E22)</f>
        <v>36244.199999999997</v>
      </c>
      <c r="F20" s="123"/>
      <c r="G20" s="361" t="s">
        <v>16</v>
      </c>
      <c r="H20" s="362"/>
      <c r="I20" s="36"/>
      <c r="J20" s="37"/>
      <c r="K20" s="38"/>
      <c r="L20" s="39"/>
    </row>
    <row r="21" spans="2:14">
      <c r="B21" s="40"/>
      <c r="C21" s="41"/>
      <c r="D21" s="122" t="s">
        <v>84</v>
      </c>
      <c r="E21" s="43">
        <v>34852.199999999997</v>
      </c>
      <c r="F21" s="123"/>
      <c r="G21" s="44">
        <v>13485.96</v>
      </c>
      <c r="H21" s="29" t="s">
        <v>10</v>
      </c>
      <c r="I21" s="30"/>
      <c r="J21" s="37"/>
      <c r="K21" s="45"/>
      <c r="L21" s="39"/>
    </row>
    <row r="22" spans="2:14">
      <c r="B22" s="40"/>
      <c r="C22" s="41"/>
      <c r="D22" s="122" t="s">
        <v>85</v>
      </c>
      <c r="E22" s="43">
        <v>1392</v>
      </c>
      <c r="F22" s="123"/>
      <c r="G22" s="44">
        <v>17187.39</v>
      </c>
      <c r="H22" s="29" t="s">
        <v>18</v>
      </c>
      <c r="I22" s="30"/>
      <c r="J22" s="50"/>
      <c r="K22" s="38"/>
      <c r="L22" s="39"/>
    </row>
    <row r="23" spans="2:14" ht="15" thickBot="1">
      <c r="B23" s="46" t="s">
        <v>17</v>
      </c>
      <c r="C23" s="47"/>
      <c r="D23" s="48"/>
      <c r="E23" s="49">
        <v>0</v>
      </c>
      <c r="F23" s="123"/>
      <c r="G23" s="51"/>
      <c r="H23" s="34"/>
      <c r="I23" s="30"/>
      <c r="J23" s="52"/>
      <c r="K23" s="53"/>
      <c r="L23" s="39"/>
      <c r="N23" t="s">
        <v>20</v>
      </c>
    </row>
    <row r="24" spans="2:14" ht="15" thickBot="1">
      <c r="B24" s="366" t="s">
        <v>83</v>
      </c>
      <c r="C24" s="367"/>
      <c r="D24" s="368"/>
      <c r="E24" s="49">
        <v>0</v>
      </c>
      <c r="G24" s="331" t="s">
        <v>21</v>
      </c>
      <c r="H24" s="332"/>
      <c r="I24" s="332"/>
      <c r="J24" s="332"/>
      <c r="K24" s="333"/>
      <c r="L24" s="39"/>
    </row>
    <row r="25" spans="2:14">
      <c r="B25" s="344" t="s">
        <v>78</v>
      </c>
      <c r="C25" s="345"/>
      <c r="D25" s="346"/>
      <c r="E25" s="49">
        <v>0</v>
      </c>
      <c r="G25" s="54"/>
      <c r="H25" s="55"/>
      <c r="I25" s="56"/>
      <c r="J25" s="57"/>
      <c r="K25" s="58"/>
      <c r="L25" s="39"/>
    </row>
    <row r="26" spans="2:14">
      <c r="B26" s="344" t="s">
        <v>22</v>
      </c>
      <c r="C26" s="345"/>
      <c r="D26" s="346"/>
      <c r="E26" s="49">
        <v>0</v>
      </c>
      <c r="G26" s="347" t="s">
        <v>5</v>
      </c>
      <c r="H26" s="348"/>
      <c r="I26" s="59"/>
      <c r="J26" s="60"/>
      <c r="K26" s="45"/>
      <c r="L26" s="61"/>
    </row>
    <row r="27" spans="2:14">
      <c r="B27" s="344" t="s">
        <v>80</v>
      </c>
      <c r="C27" s="345"/>
      <c r="D27" s="346"/>
      <c r="E27" s="49">
        <v>1760000</v>
      </c>
      <c r="F27" s="123">
        <v>0</v>
      </c>
      <c r="G27" s="22">
        <f>11582.21-11500</f>
        <v>82.209999999999127</v>
      </c>
      <c r="H27" s="62" t="s">
        <v>9</v>
      </c>
      <c r="I27" s="59"/>
      <c r="J27" s="60"/>
      <c r="K27" s="45"/>
      <c r="L27" s="61"/>
    </row>
    <row r="28" spans="2:14">
      <c r="B28" s="344" t="s">
        <v>24</v>
      </c>
      <c r="C28" s="345"/>
      <c r="D28" s="346"/>
      <c r="E28" s="49">
        <v>0</v>
      </c>
      <c r="F28" s="123">
        <v>40000</v>
      </c>
      <c r="G28" s="22">
        <v>42073.94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4">
      <c r="B29" s="344" t="s">
        <v>25</v>
      </c>
      <c r="C29" s="345"/>
      <c r="D29" s="346"/>
      <c r="E29" s="49">
        <v>0</v>
      </c>
      <c r="F29" s="123">
        <v>30000</v>
      </c>
      <c r="G29" s="67">
        <v>31320.720000000001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4" ht="15" thickBot="1">
      <c r="B30" s="363" t="s">
        <v>29</v>
      </c>
      <c r="C30" s="364"/>
      <c r="D30" s="365"/>
      <c r="E30" s="66">
        <v>0</v>
      </c>
      <c r="F30" s="123">
        <v>1600000</v>
      </c>
      <c r="G30" s="71">
        <v>1646729.01</v>
      </c>
      <c r="H30" s="72" t="s">
        <v>12</v>
      </c>
      <c r="I30" s="73"/>
      <c r="J30" s="74" t="s">
        <v>32</v>
      </c>
      <c r="K30" s="75" t="s">
        <v>33</v>
      </c>
      <c r="L30" s="61"/>
    </row>
    <row r="31" spans="2:14">
      <c r="B31" s="69"/>
      <c r="C31" s="69"/>
      <c r="D31" s="70"/>
      <c r="E31" s="70"/>
      <c r="F31" s="127">
        <f>SUM(F27:F30)</f>
        <v>1670000</v>
      </c>
      <c r="G31" s="76"/>
      <c r="H31" s="76"/>
      <c r="I31" s="76"/>
      <c r="J31" s="76"/>
      <c r="K31" s="1"/>
      <c r="L31" s="77"/>
    </row>
    <row r="34" spans="5:7">
      <c r="E34" s="128" t="s">
        <v>66</v>
      </c>
      <c r="F34" s="128"/>
    </row>
    <row r="35" spans="5:7">
      <c r="E35" s="128"/>
      <c r="F35" s="128"/>
    </row>
    <row r="36" spans="5:7">
      <c r="E36" s="129" t="s">
        <v>34</v>
      </c>
      <c r="F36" s="130">
        <f>F17</f>
        <v>289582.23</v>
      </c>
    </row>
    <row r="37" spans="5:7">
      <c r="E37" s="129" t="s">
        <v>35</v>
      </c>
      <c r="F37" s="130">
        <f>+F31</f>
        <v>1670000</v>
      </c>
    </row>
    <row r="38" spans="5:7" s="61" customFormat="1" ht="15" customHeight="1">
      <c r="E38" s="129" t="s">
        <v>36</v>
      </c>
      <c r="F38" s="130">
        <v>0</v>
      </c>
      <c r="G38" s="8"/>
    </row>
    <row r="39" spans="5:7" s="61" customFormat="1" ht="15" customHeight="1">
      <c r="E39" s="129" t="s">
        <v>37</v>
      </c>
      <c r="F39" s="130">
        <v>0</v>
      </c>
      <c r="G39" s="86"/>
    </row>
    <row r="40" spans="5:7" s="61" customFormat="1" ht="15" customHeight="1">
      <c r="E40" s="131" t="s">
        <v>38</v>
      </c>
      <c r="F40" s="132">
        <f>SUM(F36:F39)</f>
        <v>1959582.23</v>
      </c>
      <c r="G40" s="86"/>
    </row>
    <row r="41" spans="5:7" s="61" customFormat="1" ht="15" customHeight="1">
      <c r="E41" s="133"/>
      <c r="F41" s="134"/>
      <c r="G41" s="86"/>
    </row>
    <row r="42" spans="5:7" s="61" customFormat="1" ht="15" customHeight="1">
      <c r="E42" s="135" t="s">
        <v>65</v>
      </c>
      <c r="F42" s="134">
        <v>75000</v>
      </c>
      <c r="G42" s="86"/>
    </row>
    <row r="43" spans="5:7" s="61" customFormat="1" ht="15" customHeight="1">
      <c r="E43" s="135" t="s">
        <v>82</v>
      </c>
      <c r="F43" s="134">
        <v>0</v>
      </c>
      <c r="G43" s="9"/>
    </row>
    <row r="44" spans="5:7" s="61" customFormat="1" ht="15" customHeight="1">
      <c r="E44" s="133" t="s">
        <v>67</v>
      </c>
      <c r="F44" s="134">
        <v>0</v>
      </c>
      <c r="G44" s="9"/>
    </row>
    <row r="45" spans="5:7" s="61" customFormat="1" ht="15" customHeight="1">
      <c r="E45" s="136" t="s">
        <v>68</v>
      </c>
      <c r="F45" s="134">
        <v>0</v>
      </c>
      <c r="G45" s="9"/>
    </row>
    <row r="46" spans="5:7" s="61" customFormat="1" ht="15" customHeight="1">
      <c r="E46" s="137" t="s">
        <v>24</v>
      </c>
      <c r="F46" s="138">
        <v>0</v>
      </c>
      <c r="G46" s="94">
        <v>810000</v>
      </c>
    </row>
    <row r="47" spans="5:7" s="61" customFormat="1" ht="15" customHeight="1">
      <c r="E47" s="137" t="s">
        <v>39</v>
      </c>
      <c r="F47" s="138">
        <v>2000</v>
      </c>
      <c r="G47" s="9"/>
    </row>
    <row r="48" spans="5:7" s="61" customFormat="1" ht="15" customHeight="1">
      <c r="E48" s="137" t="s">
        <v>22</v>
      </c>
      <c r="F48" s="138">
        <f>100000+50000-20000</f>
        <v>130000</v>
      </c>
      <c r="G48" s="9"/>
    </row>
    <row r="49" spans="5:7" s="61" customFormat="1" ht="15" customHeight="1">
      <c r="E49" s="137" t="s">
        <v>69</v>
      </c>
      <c r="F49" s="138">
        <v>0</v>
      </c>
      <c r="G49" s="9"/>
    </row>
    <row r="50" spans="5:7" s="61" customFormat="1" ht="15" customHeight="1">
      <c r="E50" s="137" t="s">
        <v>81</v>
      </c>
      <c r="F50" s="138">
        <v>0</v>
      </c>
      <c r="G50" s="9"/>
    </row>
    <row r="51" spans="5:7" s="61" customFormat="1" ht="15" customHeight="1">
      <c r="E51" s="137" t="s">
        <v>80</v>
      </c>
      <c r="F51" s="138">
        <v>1760000</v>
      </c>
      <c r="G51" s="9"/>
    </row>
    <row r="52" spans="5:7" s="61" customFormat="1" ht="15" customHeight="1">
      <c r="E52" s="137" t="s">
        <v>40</v>
      </c>
      <c r="F52" s="134">
        <v>100000</v>
      </c>
      <c r="G52" s="9"/>
    </row>
    <row r="53" spans="5:7" s="61" customFormat="1" ht="15" customHeight="1">
      <c r="E53" s="139" t="s">
        <v>41</v>
      </c>
      <c r="F53" s="140">
        <f>SUM(F42:F52)</f>
        <v>2067000</v>
      </c>
      <c r="G53" s="82"/>
    </row>
    <row r="54" spans="5:7" s="61" customFormat="1" ht="15" customHeight="1">
      <c r="E54" s="139" t="s">
        <v>42</v>
      </c>
      <c r="F54" s="140">
        <f>F40-F53</f>
        <v>-107417.77000000002</v>
      </c>
      <c r="G54" s="82"/>
    </row>
    <row r="55" spans="5:7" s="61" customFormat="1" ht="15" customHeight="1">
      <c r="E55" s="129"/>
      <c r="F55" s="129"/>
      <c r="G55" s="8"/>
    </row>
    <row r="56" spans="5:7" s="61" customFormat="1">
      <c r="E56" s="129" t="s">
        <v>43</v>
      </c>
      <c r="F56" s="141">
        <f>43800+180000</f>
        <v>223800</v>
      </c>
      <c r="G56" s="8"/>
    </row>
    <row r="57" spans="5:7" s="61" customFormat="1">
      <c r="E57" s="129" t="s">
        <v>44</v>
      </c>
      <c r="F57" s="141">
        <v>0</v>
      </c>
      <c r="G57" s="8"/>
    </row>
    <row r="58" spans="5:7" s="61" customFormat="1">
      <c r="E58" s="129" t="s">
        <v>45</v>
      </c>
      <c r="F58" s="138">
        <v>0</v>
      </c>
      <c r="G58" s="8"/>
    </row>
    <row r="59" spans="5:7" s="61" customFormat="1">
      <c r="E59" s="139" t="s">
        <v>46</v>
      </c>
      <c r="F59" s="142">
        <f>SUM(F56:F58)</f>
        <v>223800</v>
      </c>
      <c r="G59" s="8"/>
    </row>
    <row r="60" spans="5:7" s="61" customFormat="1">
      <c r="E60" s="129"/>
      <c r="F60" s="129"/>
      <c r="G60" s="8"/>
    </row>
    <row r="61" spans="5:7" s="61" customFormat="1">
      <c r="E61" s="118" t="s">
        <v>47</v>
      </c>
      <c r="F61" s="121">
        <f>F54-F59</f>
        <v>-331217.77</v>
      </c>
      <c r="G61" s="8"/>
    </row>
  </sheetData>
  <mergeCells count="22">
    <mergeCell ref="B28:D28"/>
    <mergeCell ref="B29:D29"/>
    <mergeCell ref="B30:D30"/>
    <mergeCell ref="B24:D24"/>
    <mergeCell ref="B25:D25"/>
    <mergeCell ref="G24:K24"/>
    <mergeCell ref="B26:D26"/>
    <mergeCell ref="B27:D27"/>
    <mergeCell ref="G26:H26"/>
    <mergeCell ref="B16:D16"/>
    <mergeCell ref="B17:D17"/>
    <mergeCell ref="B18:D18"/>
    <mergeCell ref="B19:D19"/>
    <mergeCell ref="B20:D20"/>
    <mergeCell ref="G20:H20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9AE9B-85F9-4F5B-A000-222C78B581A8}">
  <dimension ref="A6:R210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34" t="s">
        <v>3</v>
      </c>
      <c r="C14" s="335"/>
      <c r="D14" s="336"/>
      <c r="E14" s="17">
        <f>SUM(E15:E17)</f>
        <v>464074.87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37" t="s">
        <v>5</v>
      </c>
      <c r="C15" s="338"/>
      <c r="D15" s="339"/>
      <c r="E15" s="20">
        <f>J16+J17+J18+J19</f>
        <v>303880.03999999998</v>
      </c>
      <c r="F15" s="153">
        <f>E15+E16+E17</f>
        <v>464074.87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349" t="s">
        <v>7</v>
      </c>
      <c r="C16" s="350"/>
      <c r="D16" s="351"/>
      <c r="E16" s="20">
        <f>G22+G23</f>
        <v>36671.300000000003</v>
      </c>
      <c r="F16" s="153">
        <v>90000</v>
      </c>
      <c r="G16" s="22">
        <v>15428.52</v>
      </c>
      <c r="H16" s="23" t="s">
        <v>8</v>
      </c>
      <c r="I16" s="24"/>
      <c r="J16" s="25">
        <v>25628</v>
      </c>
      <c r="K16" s="26" t="s">
        <v>9</v>
      </c>
      <c r="L16" s="13"/>
      <c r="N16" s="3"/>
    </row>
    <row r="17" spans="2:18">
      <c r="B17" s="352" t="s">
        <v>6</v>
      </c>
      <c r="C17" s="353"/>
      <c r="D17" s="354"/>
      <c r="E17" s="28">
        <f>G16+G17+G18</f>
        <v>123523.53</v>
      </c>
      <c r="F17" s="153">
        <f>+F15-F16</f>
        <v>374074.87</v>
      </c>
      <c r="G17" s="22">
        <v>14281.88</v>
      </c>
      <c r="H17" s="29" t="s">
        <v>10</v>
      </c>
      <c r="I17" s="30"/>
      <c r="J17" s="25">
        <v>79222.789999999994</v>
      </c>
      <c r="K17" s="31" t="s">
        <v>10</v>
      </c>
      <c r="N17" s="3"/>
    </row>
    <row r="18" spans="2:18">
      <c r="B18" s="236" t="s">
        <v>187</v>
      </c>
      <c r="C18" s="237"/>
      <c r="D18" s="238"/>
      <c r="E18" s="28">
        <f>+J22</f>
        <v>14541.8</v>
      </c>
      <c r="F18" s="153"/>
      <c r="G18" s="22">
        <v>93813.13</v>
      </c>
      <c r="H18" s="29" t="s">
        <v>12</v>
      </c>
      <c r="I18" s="30"/>
      <c r="J18" s="25">
        <v>59876.32</v>
      </c>
      <c r="K18" s="31" t="s">
        <v>12</v>
      </c>
      <c r="L18" s="152"/>
      <c r="N18" s="3"/>
    </row>
    <row r="19" spans="2:18">
      <c r="B19" s="379" t="s">
        <v>11</v>
      </c>
      <c r="C19" s="380"/>
      <c r="D19" s="381"/>
      <c r="E19" s="20">
        <f>G29+G31+G30+G28</f>
        <v>338514.01</v>
      </c>
      <c r="F19" s="153"/>
      <c r="G19" s="33"/>
      <c r="H19" s="34"/>
      <c r="I19" s="30"/>
      <c r="J19" s="25">
        <v>139152.93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19035652.539999999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SUM(E22:E24)</f>
        <v>23593.040000000001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97</v>
      </c>
      <c r="E22" s="190">
        <v>9673.0400000000009</v>
      </c>
      <c r="F22" s="153"/>
      <c r="G22" s="44">
        <v>12564.04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187"/>
      <c r="C23" s="188"/>
      <c r="D23" s="198" t="s">
        <v>350</v>
      </c>
      <c r="E23" s="190">
        <v>13920</v>
      </c>
      <c r="F23" s="153"/>
      <c r="G23" s="44">
        <v>24107.26</v>
      </c>
      <c r="H23" s="29" t="s">
        <v>18</v>
      </c>
      <c r="I23" s="30"/>
      <c r="J23" s="25"/>
      <c r="K23" s="31"/>
    </row>
    <row r="24" spans="2:18" ht="15" thickBot="1">
      <c r="B24" s="206"/>
      <c r="C24" s="205"/>
      <c r="D24" s="208"/>
      <c r="E24" s="190">
        <v>0</v>
      </c>
      <c r="F24" s="220"/>
      <c r="G24" s="51"/>
      <c r="H24" s="34"/>
      <c r="I24" s="30"/>
      <c r="J24" s="210"/>
      <c r="K24" s="53"/>
      <c r="N24" s="290"/>
    </row>
    <row r="25" spans="2:18" ht="15" thickBot="1">
      <c r="B25" s="46" t="s">
        <v>17</v>
      </c>
      <c r="C25" s="47"/>
      <c r="D25" s="48"/>
      <c r="E25" s="234">
        <v>53000</v>
      </c>
      <c r="F25" s="153">
        <f>+F17-E25</f>
        <v>321074.87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202" t="s">
        <v>349</v>
      </c>
      <c r="C26" s="203"/>
      <c r="D26" s="204"/>
      <c r="E26" s="234">
        <v>0</v>
      </c>
      <c r="F26" s="288">
        <f>SUM(E25:E31)</f>
        <v>303894.8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359</v>
      </c>
      <c r="C27" s="200"/>
      <c r="D27" s="201"/>
      <c r="E27" s="49">
        <v>10894.8</v>
      </c>
      <c r="F27" s="153">
        <f>+F25-F26</f>
        <v>17180.070000000007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199" t="s">
        <v>81</v>
      </c>
      <c r="C28" s="200"/>
      <c r="D28" s="201"/>
      <c r="E28" s="49">
        <v>0</v>
      </c>
      <c r="F28" s="221"/>
      <c r="G28" s="22">
        <f>24045.68-11500-8500</f>
        <v>4045.6800000000003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24</v>
      </c>
      <c r="C29" s="200"/>
      <c r="D29" s="201"/>
      <c r="E29" s="49">
        <v>240000</v>
      </c>
      <c r="F29" s="220"/>
      <c r="G29" s="22">
        <f>477191.22- 154326.09</f>
        <v>322865.13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344" t="s">
        <v>358</v>
      </c>
      <c r="C30" s="345"/>
      <c r="D30" s="346"/>
      <c r="E30" s="49">
        <v>0</v>
      </c>
      <c r="F30" s="220"/>
      <c r="G30" s="67">
        <v>1754.28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63" t="s">
        <v>29</v>
      </c>
      <c r="C31" s="364"/>
      <c r="D31" s="365"/>
      <c r="E31" s="66">
        <v>0</v>
      </c>
      <c r="F31" s="220"/>
      <c r="G31" s="71">
        <f>402104.56-392255.64</f>
        <v>9848.9199999999837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79"/>
      <c r="N32" s="269"/>
      <c r="P32" s="155"/>
      <c r="R32" s="155"/>
    </row>
    <row r="33" spans="5:18">
      <c r="E33" s="79"/>
    </row>
    <row r="34" spans="5:18">
      <c r="E34" s="79"/>
      <c r="H34" s="61"/>
      <c r="I34" s="61"/>
      <c r="J34" s="13"/>
      <c r="K34" s="61"/>
      <c r="L34" s="61"/>
      <c r="M34" s="61"/>
      <c r="N34" s="269"/>
      <c r="P34" s="155"/>
      <c r="R34" s="155"/>
    </row>
    <row r="35" spans="5:18">
      <c r="E35" s="8"/>
      <c r="F35" s="220"/>
      <c r="H35" s="61"/>
      <c r="I35" s="61"/>
      <c r="J35" s="13"/>
      <c r="K35" s="61"/>
      <c r="L35" s="61"/>
      <c r="M35" s="61"/>
    </row>
    <row r="36" spans="5:18" s="61" customFormat="1" ht="15" customHeight="1">
      <c r="E36" s="181" t="s">
        <v>354</v>
      </c>
      <c r="F36" s="222"/>
      <c r="G36" s="8"/>
      <c r="H36" s="13"/>
      <c r="J36" s="13"/>
      <c r="K36" s="83"/>
      <c r="L36" s="88"/>
      <c r="N36" s="272"/>
      <c r="P36" s="273"/>
      <c r="R36" s="273"/>
    </row>
    <row r="37" spans="5:18" s="61" customFormat="1" ht="15" customHeight="1">
      <c r="E37" s="181"/>
      <c r="F37" s="222"/>
      <c r="G37" s="181"/>
      <c r="H37" s="161"/>
      <c r="I37" s="197"/>
      <c r="J37" s="13"/>
      <c r="K37" s="83"/>
      <c r="L37" s="161"/>
      <c r="M37" s="197"/>
    </row>
    <row r="38" spans="5:18" s="61" customFormat="1" ht="15" customHeight="1">
      <c r="E38" s="8" t="s">
        <v>34</v>
      </c>
      <c r="F38" s="222">
        <f>F17</f>
        <v>374074.87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5:18" s="61" customFormat="1" ht="15" customHeight="1">
      <c r="E39" s="8" t="s">
        <v>35</v>
      </c>
      <c r="F39" s="222">
        <f>+E19</f>
        <v>338514.01</v>
      </c>
      <c r="G39" s="86"/>
      <c r="I39" s="197"/>
      <c r="J39" s="13"/>
      <c r="K39" s="85"/>
      <c r="M39" s="197"/>
    </row>
    <row r="40" spans="5:18" s="61" customFormat="1" ht="15" customHeight="1">
      <c r="E40" s="8" t="s">
        <v>36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5:18" s="61" customFormat="1" ht="15" customHeight="1">
      <c r="E41" s="8" t="s">
        <v>37</v>
      </c>
      <c r="F41" s="222">
        <v>0</v>
      </c>
      <c r="G41" s="9"/>
      <c r="I41" s="197"/>
      <c r="J41" s="13"/>
      <c r="M41" s="197"/>
    </row>
    <row r="42" spans="5:18" s="61" customFormat="1" ht="15" customHeight="1">
      <c r="E42" s="182" t="s">
        <v>38</v>
      </c>
      <c r="F42" s="223">
        <f>SUM(F38:F41)</f>
        <v>712588.88</v>
      </c>
      <c r="G42" s="9"/>
      <c r="I42" s="197"/>
      <c r="J42" s="13"/>
      <c r="M42" s="197"/>
      <c r="N42" s="272"/>
      <c r="P42" s="273"/>
      <c r="R42" s="273"/>
    </row>
    <row r="43" spans="5:18" s="61" customFormat="1" ht="15" customHeight="1">
      <c r="E43" s="183"/>
      <c r="F43" s="224"/>
      <c r="G43" s="9"/>
      <c r="H43" s="163"/>
      <c r="I43" s="229"/>
      <c r="J43" s="13"/>
      <c r="L43" s="163"/>
      <c r="M43" s="229"/>
    </row>
    <row r="44" spans="5:18" s="61" customFormat="1" ht="15" customHeight="1">
      <c r="E44" s="183" t="s">
        <v>152</v>
      </c>
      <c r="F44" s="224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5:18" s="61" customFormat="1" ht="15" customHeight="1">
      <c r="E45" s="183" t="s">
        <v>355</v>
      </c>
      <c r="F45" s="224">
        <v>1300000</v>
      </c>
      <c r="G45" s="9"/>
      <c r="H45" s="165"/>
      <c r="I45" s="230"/>
      <c r="J45" s="13"/>
    </row>
    <row r="46" spans="5:18" s="61" customFormat="1" ht="15" customHeight="1">
      <c r="E46" s="183" t="s">
        <v>356</v>
      </c>
      <c r="F46" s="224">
        <v>120000</v>
      </c>
      <c r="G46" s="9"/>
      <c r="H46" s="165"/>
      <c r="I46" s="230"/>
      <c r="J46" s="13"/>
    </row>
    <row r="47" spans="5:18" s="61" customFormat="1" ht="15" customHeight="1">
      <c r="E47" s="183" t="s">
        <v>64</v>
      </c>
      <c r="F47" s="224">
        <v>0</v>
      </c>
      <c r="G47" s="9"/>
      <c r="H47" s="165"/>
      <c r="I47" s="230"/>
      <c r="J47" s="13"/>
    </row>
    <row r="48" spans="5:18" s="61" customFormat="1" ht="15" customHeight="1">
      <c r="E48" s="183" t="s">
        <v>69</v>
      </c>
      <c r="F48" s="224">
        <v>60000</v>
      </c>
      <c r="G48" s="9"/>
      <c r="H48" s="165"/>
      <c r="I48" s="230"/>
      <c r="J48" s="13"/>
    </row>
    <row r="49" spans="4:13" s="61" customFormat="1" ht="15" customHeight="1">
      <c r="E49" s="116" t="s">
        <v>24</v>
      </c>
      <c r="F49" s="220">
        <v>0</v>
      </c>
      <c r="G49" s="9"/>
      <c r="H49" s="165"/>
      <c r="I49" s="230"/>
      <c r="J49" s="13"/>
    </row>
    <row r="50" spans="4:13" s="61" customFormat="1">
      <c r="E50" s="116" t="s">
        <v>22</v>
      </c>
      <c r="F50" s="220">
        <v>50000</v>
      </c>
      <c r="G50" s="8"/>
      <c r="H50" s="91"/>
      <c r="I50" s="231"/>
      <c r="J50" s="13"/>
    </row>
    <row r="51" spans="4:13" s="61" customFormat="1">
      <c r="E51" s="116" t="s">
        <v>40</v>
      </c>
      <c r="F51" s="226">
        <f>200000-90000-60000</f>
        <v>50000</v>
      </c>
      <c r="G51" s="8"/>
      <c r="H51" s="96"/>
      <c r="I51" s="231"/>
      <c r="J51" s="262"/>
    </row>
    <row r="52" spans="4:13" s="61" customFormat="1">
      <c r="E52" s="118" t="s">
        <v>41</v>
      </c>
      <c r="F52" s="225">
        <f>SUM(F44:F51)</f>
        <v>1705000</v>
      </c>
      <c r="G52" s="82"/>
      <c r="H52" s="83"/>
      <c r="I52" s="228"/>
      <c r="J52" s="13"/>
    </row>
    <row r="53" spans="4:13" s="61" customFormat="1">
      <c r="E53" s="118" t="s">
        <v>42</v>
      </c>
      <c r="F53" s="225">
        <f>F42-F52</f>
        <v>-992411.12</v>
      </c>
      <c r="G53" s="82"/>
      <c r="H53" s="83"/>
      <c r="I53" s="233"/>
      <c r="J53" s="13"/>
      <c r="L53" s="91"/>
      <c r="M53" s="232"/>
    </row>
    <row r="54" spans="4:13" s="61" customFormat="1">
      <c r="E54" s="8"/>
      <c r="F54" s="154"/>
      <c r="G54" s="82"/>
      <c r="H54" s="83"/>
      <c r="I54" s="233"/>
      <c r="J54" s="13"/>
      <c r="L54" s="91"/>
      <c r="M54" s="232"/>
    </row>
    <row r="55" spans="4:13" s="61" customFormat="1">
      <c r="E55" s="82" t="s">
        <v>43</v>
      </c>
      <c r="F55" s="80">
        <f>43800+180000</f>
        <v>223800</v>
      </c>
      <c r="G55" s="82"/>
      <c r="H55" s="83"/>
      <c r="I55" s="233"/>
      <c r="J55" s="13"/>
      <c r="L55" s="96"/>
      <c r="M55" s="231"/>
    </row>
    <row r="56" spans="4:13" s="61" customFormat="1">
      <c r="E56" s="82" t="s">
        <v>44</v>
      </c>
      <c r="F56" s="80">
        <v>365000</v>
      </c>
      <c r="G56" s="82"/>
      <c r="H56" s="96"/>
      <c r="I56" s="228"/>
      <c r="J56" s="13"/>
      <c r="L56" s="96"/>
      <c r="M56" s="233"/>
    </row>
    <row r="57" spans="4:13" s="61" customFormat="1">
      <c r="E57" s="82" t="s">
        <v>45</v>
      </c>
      <c r="F57" s="117">
        <v>0</v>
      </c>
      <c r="G57" s="82"/>
      <c r="H57" s="83"/>
      <c r="I57" s="233"/>
      <c r="J57" s="13"/>
    </row>
    <row r="58" spans="4:13" s="61" customFormat="1">
      <c r="E58" s="82" t="s">
        <v>205</v>
      </c>
      <c r="F58" s="117">
        <v>0</v>
      </c>
      <c r="G58"/>
      <c r="H58" s="96"/>
      <c r="I58" s="219"/>
      <c r="J58" s="13"/>
      <c r="L58" s="83"/>
      <c r="M58" s="228"/>
    </row>
    <row r="59" spans="4:13">
      <c r="E59" s="82" t="s">
        <v>206</v>
      </c>
      <c r="F59" s="117">
        <v>0</v>
      </c>
      <c r="H59" s="61"/>
      <c r="I59" s="61"/>
      <c r="J59" s="13"/>
      <c r="K59" s="61"/>
      <c r="L59" s="61"/>
      <c r="M59" s="61"/>
    </row>
    <row r="60" spans="4:13">
      <c r="E60" s="118" t="s">
        <v>46</v>
      </c>
      <c r="F60" s="120">
        <f>SUM(F55:F59)</f>
        <v>588800</v>
      </c>
      <c r="H60" s="61"/>
      <c r="I60" s="61"/>
      <c r="J60" s="13"/>
      <c r="K60" s="61"/>
      <c r="L60" s="61"/>
      <c r="M60" s="61"/>
    </row>
    <row r="61" spans="4:13">
      <c r="E61" s="82"/>
      <c r="F61" s="80"/>
    </row>
    <row r="62" spans="4:13">
      <c r="E62" s="118" t="s">
        <v>47</v>
      </c>
      <c r="F62" s="120">
        <f>F53-F60</f>
        <v>-1581211.12</v>
      </c>
      <c r="G62" s="8"/>
    </row>
    <row r="63" spans="4:13">
      <c r="D63" s="247" t="s">
        <v>192</v>
      </c>
      <c r="E63" s="8"/>
      <c r="F63" s="220"/>
      <c r="G63" s="8"/>
    </row>
    <row r="64" spans="4:13">
      <c r="D64" s="247" t="s">
        <v>194</v>
      </c>
      <c r="E64" s="8"/>
      <c r="F64" s="220"/>
      <c r="G64" s="8"/>
    </row>
    <row r="65" spans="1:7">
      <c r="D65" s="8" t="s">
        <v>9</v>
      </c>
      <c r="E65" s="8"/>
      <c r="F65" s="220"/>
      <c r="G65" s="8"/>
    </row>
    <row r="66" spans="1:7">
      <c r="D66" s="8" t="s">
        <v>195</v>
      </c>
      <c r="E66" s="8"/>
      <c r="F66" s="220"/>
      <c r="G66" s="124">
        <f>SUM(E72:F72)</f>
        <v>0</v>
      </c>
    </row>
    <row r="67" spans="1:7">
      <c r="D67" s="8" t="s">
        <v>188</v>
      </c>
      <c r="E67" s="247"/>
      <c r="F67" s="243"/>
      <c r="G67" s="8"/>
    </row>
    <row r="68" spans="1:7">
      <c r="D68" s="8"/>
      <c r="E68" s="247"/>
      <c r="F68" s="244"/>
    </row>
    <row r="69" spans="1:7">
      <c r="E69" s="249"/>
      <c r="F69" s="246"/>
    </row>
    <row r="70" spans="1:7">
      <c r="E70" s="249"/>
      <c r="F70" s="287"/>
    </row>
    <row r="71" spans="1:7">
      <c r="E71" s="249"/>
      <c r="F71" s="287"/>
    </row>
    <row r="72" spans="1:7">
      <c r="E72" s="124"/>
      <c r="F72" s="287"/>
    </row>
    <row r="73" spans="1:7">
      <c r="E73" s="8"/>
    </row>
    <row r="74" spans="1:7">
      <c r="A74" s="268"/>
      <c r="E74" s="8"/>
    </row>
    <row r="75" spans="1:7">
      <c r="E75" s="8"/>
    </row>
    <row r="76" spans="1:7">
      <c r="E76" s="8"/>
    </row>
    <row r="77" spans="1:7">
      <c r="B77" s="235"/>
      <c r="E77" s="8"/>
    </row>
    <row r="78" spans="1:7">
      <c r="E78" s="8"/>
    </row>
    <row r="79" spans="1:7">
      <c r="E79" s="293"/>
    </row>
    <row r="80" spans="1:7">
      <c r="A80" s="269"/>
      <c r="C80" s="155"/>
      <c r="E80" s="8"/>
    </row>
    <row r="81" spans="1:5">
      <c r="E81" s="293"/>
    </row>
    <row r="82" spans="1:5">
      <c r="A82" s="269"/>
      <c r="C82" s="155"/>
      <c r="E82" s="8"/>
    </row>
    <row r="83" spans="1:5">
      <c r="E83" s="293"/>
    </row>
    <row r="84" spans="1:5">
      <c r="A84" s="269"/>
      <c r="C84" s="155"/>
      <c r="E84" s="8"/>
    </row>
    <row r="85" spans="1:5">
      <c r="E85" s="293"/>
    </row>
    <row r="86" spans="1:5">
      <c r="A86" s="269"/>
      <c r="C86" s="155"/>
      <c r="E86" s="8"/>
    </row>
    <row r="87" spans="1:5">
      <c r="E87" s="293"/>
    </row>
    <row r="88" spans="1:5">
      <c r="A88" s="269"/>
      <c r="C88" s="155"/>
      <c r="E88" s="8"/>
    </row>
    <row r="89" spans="1:5">
      <c r="E89" s="293"/>
    </row>
    <row r="90" spans="1:5">
      <c r="A90" s="269"/>
      <c r="C90" s="155"/>
      <c r="E90" s="8"/>
    </row>
    <row r="91" spans="1:5">
      <c r="E91" s="293"/>
    </row>
    <row r="92" spans="1:5">
      <c r="A92" s="269"/>
      <c r="C92" s="155"/>
      <c r="E92" s="8"/>
    </row>
    <row r="93" spans="1:5">
      <c r="E93" s="293"/>
    </row>
    <row r="94" spans="1:5">
      <c r="A94" s="269"/>
      <c r="C94" s="155"/>
      <c r="E94" s="8"/>
    </row>
    <row r="95" spans="1:5">
      <c r="E95" s="293"/>
    </row>
    <row r="96" spans="1:5">
      <c r="A96" s="269"/>
      <c r="C96" s="155"/>
      <c r="E96" s="8"/>
    </row>
    <row r="97" spans="1:5">
      <c r="E97" s="293"/>
    </row>
    <row r="98" spans="1:5">
      <c r="A98" s="269"/>
      <c r="C98" s="155"/>
      <c r="E98" s="8"/>
    </row>
    <row r="99" spans="1:5">
      <c r="E99" s="293"/>
    </row>
    <row r="100" spans="1:5">
      <c r="A100" s="269"/>
      <c r="C100" s="155"/>
      <c r="E100" s="8"/>
    </row>
    <row r="101" spans="1:5">
      <c r="E101" s="293"/>
    </row>
    <row r="102" spans="1:5">
      <c r="A102" s="269"/>
      <c r="C102" s="155"/>
      <c r="E102" s="8"/>
    </row>
    <row r="103" spans="1:5">
      <c r="E103" s="293"/>
    </row>
    <row r="104" spans="1:5">
      <c r="A104" s="269"/>
      <c r="C104" s="155"/>
      <c r="E104" s="8"/>
    </row>
    <row r="105" spans="1:5">
      <c r="E105" s="293"/>
    </row>
    <row r="106" spans="1:5">
      <c r="A106" s="269"/>
      <c r="C106" s="155"/>
      <c r="E106" s="8"/>
    </row>
    <row r="107" spans="1:5">
      <c r="E107" s="293"/>
    </row>
    <row r="108" spans="1:5">
      <c r="A108" s="269"/>
      <c r="C108" s="155"/>
      <c r="E108" s="8"/>
    </row>
    <row r="109" spans="1:5">
      <c r="E109" s="293"/>
    </row>
    <row r="110" spans="1:5">
      <c r="A110" s="269"/>
      <c r="C110" s="155"/>
      <c r="E110" s="8"/>
    </row>
    <row r="111" spans="1:5">
      <c r="E111" s="277"/>
    </row>
    <row r="112" spans="1:5">
      <c r="A112" s="269"/>
      <c r="C112" s="155"/>
      <c r="E112" s="79"/>
    </row>
    <row r="113" spans="1:5">
      <c r="E113" s="277"/>
    </row>
    <row r="114" spans="1:5">
      <c r="A114" s="269"/>
      <c r="C114" s="155"/>
      <c r="E114" s="79"/>
    </row>
    <row r="115" spans="1:5">
      <c r="E115" s="277"/>
    </row>
    <row r="116" spans="1:5">
      <c r="A116" s="269"/>
      <c r="C116" s="155"/>
      <c r="E116" s="79"/>
    </row>
    <row r="117" spans="1:5">
      <c r="E117" s="277"/>
    </row>
    <row r="118" spans="1:5">
      <c r="A118" s="269"/>
      <c r="C118" s="155"/>
      <c r="E118" s="79"/>
    </row>
    <row r="119" spans="1:5">
      <c r="E119" s="277"/>
    </row>
    <row r="120" spans="1:5">
      <c r="A120" s="269"/>
      <c r="C120" s="155"/>
      <c r="E120" s="79"/>
    </row>
    <row r="121" spans="1:5">
      <c r="E121" s="277"/>
    </row>
    <row r="122" spans="1:5">
      <c r="A122" s="269"/>
      <c r="C122" s="155"/>
      <c r="E122" s="79"/>
    </row>
    <row r="123" spans="1:5">
      <c r="E123" s="277"/>
    </row>
    <row r="124" spans="1:5">
      <c r="A124" s="269"/>
      <c r="C124" s="155"/>
    </row>
    <row r="125" spans="1:5">
      <c r="E125" s="155"/>
    </row>
    <row r="126" spans="1:5">
      <c r="A126" s="269"/>
      <c r="C126" s="155"/>
    </row>
    <row r="127" spans="1:5">
      <c r="E127" s="155"/>
    </row>
    <row r="128" spans="1:5">
      <c r="A128" s="269"/>
      <c r="C128" s="155"/>
    </row>
    <row r="129" spans="1:5">
      <c r="E129" s="155"/>
    </row>
    <row r="130" spans="1:5">
      <c r="A130" s="269"/>
      <c r="C130" s="155"/>
    </row>
    <row r="131" spans="1:5">
      <c r="E131" s="155"/>
    </row>
    <row r="132" spans="1:5">
      <c r="A132" s="269"/>
      <c r="C132" s="155"/>
    </row>
    <row r="133" spans="1:5">
      <c r="E133" s="155"/>
    </row>
    <row r="134" spans="1:5">
      <c r="A134" s="269"/>
      <c r="C134" s="155"/>
    </row>
    <row r="135" spans="1:5">
      <c r="E135" s="155"/>
    </row>
    <row r="136" spans="1:5">
      <c r="A136" s="269"/>
      <c r="C136" s="155"/>
    </row>
    <row r="137" spans="1:5">
      <c r="E137" s="155"/>
    </row>
    <row r="138" spans="1:5">
      <c r="A138" s="269"/>
      <c r="C138" s="155"/>
    </row>
    <row r="139" spans="1:5">
      <c r="E139" s="155"/>
    </row>
    <row r="140" spans="1:5">
      <c r="A140" s="269"/>
      <c r="C140" s="155"/>
    </row>
    <row r="141" spans="1:5">
      <c r="E141" s="155"/>
    </row>
    <row r="142" spans="1:5">
      <c r="A142" s="269"/>
      <c r="C142" s="155"/>
    </row>
    <row r="143" spans="1:5">
      <c r="E143" s="155"/>
    </row>
    <row r="144" spans="1:5">
      <c r="A144" s="269"/>
      <c r="C144" s="155"/>
    </row>
    <row r="145" spans="1:5">
      <c r="E145" s="155"/>
    </row>
    <row r="146" spans="1:5">
      <c r="A146" s="269"/>
      <c r="C146" s="155"/>
    </row>
    <row r="147" spans="1:5">
      <c r="E147" s="155"/>
    </row>
    <row r="148" spans="1:5">
      <c r="A148" s="269"/>
      <c r="C148" s="155"/>
    </row>
    <row r="149" spans="1:5">
      <c r="E149" s="155"/>
    </row>
    <row r="150" spans="1:5">
      <c r="A150" s="269"/>
      <c r="C150" s="155"/>
    </row>
    <row r="151" spans="1:5">
      <c r="E151" s="155"/>
    </row>
    <row r="152" spans="1:5">
      <c r="A152" s="269"/>
      <c r="C152" s="155"/>
    </row>
    <row r="153" spans="1:5">
      <c r="E153" s="155"/>
    </row>
    <row r="154" spans="1:5">
      <c r="A154" s="269"/>
      <c r="C154" s="155"/>
    </row>
    <row r="155" spans="1:5">
      <c r="E155" s="155"/>
    </row>
    <row r="156" spans="1:5">
      <c r="A156" s="269"/>
      <c r="C156" s="155"/>
    </row>
    <row r="157" spans="1:5">
      <c r="E157" s="155"/>
    </row>
    <row r="158" spans="1:5">
      <c r="A158" s="269"/>
      <c r="C158" s="155"/>
    </row>
    <row r="159" spans="1:5">
      <c r="E159" s="155"/>
    </row>
    <row r="160" spans="1:5">
      <c r="A160" s="269"/>
      <c r="C160" s="155"/>
    </row>
    <row r="161" spans="1:5">
      <c r="E161" s="155"/>
    </row>
    <row r="162" spans="1:5">
      <c r="A162" s="269"/>
      <c r="C162" s="155"/>
    </row>
    <row r="163" spans="1:5">
      <c r="E163" s="155"/>
    </row>
    <row r="164" spans="1:5">
      <c r="A164" s="269"/>
      <c r="C164" s="155"/>
    </row>
    <row r="165" spans="1:5">
      <c r="E165" s="155"/>
    </row>
    <row r="166" spans="1:5">
      <c r="A166" s="269"/>
      <c r="C166" s="155"/>
    </row>
    <row r="167" spans="1:5">
      <c r="E167" s="155"/>
    </row>
    <row r="168" spans="1:5">
      <c r="A168" s="269"/>
      <c r="C168" s="155"/>
    </row>
    <row r="169" spans="1:5">
      <c r="E169" s="155"/>
    </row>
    <row r="170" spans="1:5">
      <c r="A170" s="269"/>
      <c r="C170" s="155"/>
    </row>
    <row r="171" spans="1:5">
      <c r="E171" s="155"/>
    </row>
    <row r="172" spans="1:5">
      <c r="A172" s="269"/>
      <c r="C172" s="155"/>
    </row>
    <row r="173" spans="1:5">
      <c r="E173" s="155"/>
    </row>
    <row r="174" spans="1:5">
      <c r="A174" s="269"/>
      <c r="C174" s="155"/>
    </row>
    <row r="175" spans="1:5">
      <c r="E175" s="155"/>
    </row>
    <row r="176" spans="1:5">
      <c r="A176" s="269"/>
      <c r="C176" s="155"/>
    </row>
    <row r="177" spans="1:5">
      <c r="E177" s="155"/>
    </row>
    <row r="178" spans="1:5">
      <c r="A178" s="269"/>
      <c r="C178" s="155"/>
    </row>
    <row r="179" spans="1:5">
      <c r="E179" s="155"/>
    </row>
    <row r="180" spans="1:5">
      <c r="A180" s="269"/>
      <c r="C180" s="155"/>
    </row>
    <row r="181" spans="1:5">
      <c r="E181" s="155"/>
    </row>
    <row r="182" spans="1:5">
      <c r="A182" s="269"/>
      <c r="C182" s="155"/>
    </row>
    <row r="183" spans="1:5">
      <c r="E183" s="155"/>
    </row>
    <row r="184" spans="1:5">
      <c r="A184" s="269"/>
      <c r="C184" s="155"/>
    </row>
    <row r="185" spans="1:5">
      <c r="E185" s="155"/>
    </row>
    <row r="186" spans="1:5">
      <c r="A186" s="269"/>
      <c r="C186" s="155"/>
    </row>
    <row r="187" spans="1:5">
      <c r="E187" s="155"/>
    </row>
    <row r="188" spans="1:5">
      <c r="A188" s="269"/>
      <c r="C188" s="155"/>
    </row>
    <row r="189" spans="1:5">
      <c r="E189" s="155"/>
    </row>
    <row r="190" spans="1:5">
      <c r="A190" s="269"/>
      <c r="C190" s="155"/>
    </row>
    <row r="191" spans="1:5">
      <c r="E191" s="155"/>
    </row>
    <row r="192" spans="1:5">
      <c r="A192" s="269"/>
      <c r="C192" s="155"/>
    </row>
    <row r="193" spans="1:5">
      <c r="E193" s="155"/>
    </row>
    <row r="194" spans="1:5">
      <c r="A194" s="269"/>
      <c r="C194" s="155"/>
    </row>
    <row r="195" spans="1:5">
      <c r="E195" s="155"/>
    </row>
    <row r="196" spans="1:5">
      <c r="A196" s="269"/>
      <c r="C196" s="155"/>
    </row>
    <row r="197" spans="1:5">
      <c r="E197" s="155"/>
    </row>
    <row r="198" spans="1:5">
      <c r="A198" s="269"/>
      <c r="C198" s="155"/>
    </row>
    <row r="199" spans="1:5">
      <c r="E199" s="155"/>
    </row>
    <row r="200" spans="1:5">
      <c r="A200" s="269"/>
      <c r="D200" s="155"/>
    </row>
    <row r="201" spans="1:5">
      <c r="E201" s="155"/>
    </row>
    <row r="202" spans="1:5">
      <c r="A202" s="269"/>
      <c r="C202" s="155"/>
    </row>
    <row r="203" spans="1:5">
      <c r="E203" s="155"/>
    </row>
    <row r="204" spans="1:5">
      <c r="A204" s="269"/>
      <c r="C204" s="155"/>
    </row>
    <row r="205" spans="1:5">
      <c r="E205" s="155"/>
    </row>
    <row r="206" spans="1:5">
      <c r="A206" s="269"/>
      <c r="C206" s="155"/>
    </row>
    <row r="207" spans="1:5">
      <c r="E207" s="155"/>
    </row>
    <row r="208" spans="1:5">
      <c r="A208" s="269"/>
      <c r="C208" s="155"/>
    </row>
    <row r="209" spans="1:5">
      <c r="E209" s="155"/>
    </row>
    <row r="210" spans="1:5">
      <c r="A210" s="269"/>
      <c r="C210" s="155"/>
    </row>
  </sheetData>
  <mergeCells count="16"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58C3C-C7BE-44F9-B4F6-6130A9438177}">
  <dimension ref="A6:R210"/>
  <sheetViews>
    <sheetView showGridLines="0" workbookViewId="0">
      <selection activeCell="B8" sqref="B8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34" t="s">
        <v>3</v>
      </c>
      <c r="C14" s="335"/>
      <c r="D14" s="336"/>
      <c r="E14" s="17">
        <f>SUM(E15:E17)</f>
        <v>885506.40999999992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37" t="s">
        <v>5</v>
      </c>
      <c r="C15" s="338"/>
      <c r="D15" s="339"/>
      <c r="E15" s="20">
        <f>J16+J17+J18+J19</f>
        <v>128045.91</v>
      </c>
      <c r="F15" s="153">
        <f>E15+E16+E17</f>
        <v>885506.40999999992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349" t="s">
        <v>7</v>
      </c>
      <c r="C16" s="350"/>
      <c r="D16" s="351"/>
      <c r="E16" s="20">
        <f>G22+G23</f>
        <v>34295.1</v>
      </c>
      <c r="F16" s="153">
        <v>90000</v>
      </c>
      <c r="G16" s="22">
        <v>15428.52</v>
      </c>
      <c r="H16" s="23" t="s">
        <v>8</v>
      </c>
      <c r="I16" s="24"/>
      <c r="J16" s="25">
        <v>13572.96</v>
      </c>
      <c r="K16" s="26" t="s">
        <v>9</v>
      </c>
      <c r="L16" s="13"/>
      <c r="N16" s="3"/>
    </row>
    <row r="17" spans="2:18">
      <c r="B17" s="352" t="s">
        <v>6</v>
      </c>
      <c r="C17" s="353"/>
      <c r="D17" s="354"/>
      <c r="E17" s="28">
        <f>G16+G17+G18</f>
        <v>723165.39999999991</v>
      </c>
      <c r="F17" s="153">
        <f>+F15-F16</f>
        <v>795506.40999999992</v>
      </c>
      <c r="G17" s="22">
        <v>64262.79</v>
      </c>
      <c r="H17" s="29" t="s">
        <v>10</v>
      </c>
      <c r="I17" s="30"/>
      <c r="J17" s="25">
        <v>29113.57</v>
      </c>
      <c r="K17" s="31" t="s">
        <v>10</v>
      </c>
      <c r="N17" s="3"/>
    </row>
    <row r="18" spans="2:18">
      <c r="B18" s="236" t="s">
        <v>187</v>
      </c>
      <c r="C18" s="237"/>
      <c r="D18" s="238"/>
      <c r="E18" s="28">
        <f>+J22</f>
        <v>14541.8</v>
      </c>
      <c r="F18" s="153"/>
      <c r="G18" s="22">
        <v>643474.09</v>
      </c>
      <c r="H18" s="29" t="s">
        <v>12</v>
      </c>
      <c r="I18" s="30"/>
      <c r="J18" s="25">
        <v>47684.79</v>
      </c>
      <c r="K18" s="31" t="s">
        <v>12</v>
      </c>
      <c r="L18" s="152"/>
      <c r="N18" s="3"/>
    </row>
    <row r="19" spans="2:18">
      <c r="B19" s="379" t="s">
        <v>11</v>
      </c>
      <c r="C19" s="380"/>
      <c r="D19" s="381"/>
      <c r="E19" s="20">
        <f>G29+G31+G30+G28</f>
        <v>15295.729999999998</v>
      </c>
      <c r="F19" s="153"/>
      <c r="G19" s="33"/>
      <c r="H19" s="34"/>
      <c r="I19" s="30"/>
      <c r="J19" s="25">
        <v>37674.589999999997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20091851.600000001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SUM(E22:E24)</f>
        <v>10908.92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330</v>
      </c>
      <c r="E22" s="190">
        <v>10908.92</v>
      </c>
      <c r="F22" s="153"/>
      <c r="G22" s="44">
        <v>10187.84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187"/>
      <c r="C23" s="188"/>
      <c r="D23" s="198"/>
      <c r="E23" s="190">
        <v>0</v>
      </c>
      <c r="F23" s="153"/>
      <c r="G23" s="44">
        <v>24107.26</v>
      </c>
      <c r="H23" s="29" t="s">
        <v>18</v>
      </c>
      <c r="I23" s="30"/>
      <c r="J23" s="25"/>
      <c r="K23" s="31"/>
    </row>
    <row r="24" spans="2:18" ht="15" thickBot="1">
      <c r="B24" s="206"/>
      <c r="C24" s="205"/>
      <c r="D24" s="208"/>
      <c r="E24" s="190">
        <v>0</v>
      </c>
      <c r="F24" s="220"/>
      <c r="G24" s="51"/>
      <c r="H24" s="34"/>
      <c r="I24" s="30"/>
      <c r="J24" s="210"/>
      <c r="K24" s="53"/>
      <c r="N24" s="290"/>
    </row>
    <row r="25" spans="2:18" ht="15" thickBot="1">
      <c r="B25" s="46" t="s">
        <v>17</v>
      </c>
      <c r="C25" s="47"/>
      <c r="D25" s="48"/>
      <c r="E25" s="234">
        <v>50145.95</v>
      </c>
      <c r="F25" s="153">
        <f>+F17-E25</f>
        <v>745360.46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202" t="s">
        <v>77</v>
      </c>
      <c r="C26" s="203"/>
      <c r="D26" s="204"/>
      <c r="E26" s="234">
        <v>0</v>
      </c>
      <c r="F26" s="288">
        <f>SUM(E25:E31)</f>
        <v>558811.06999999995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360</v>
      </c>
      <c r="C27" s="200"/>
      <c r="D27" s="201"/>
      <c r="E27" s="234">
        <v>0</v>
      </c>
      <c r="F27" s="153">
        <f>+F25-F26</f>
        <v>186549.39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199" t="s">
        <v>89</v>
      </c>
      <c r="C28" s="200"/>
      <c r="D28" s="201"/>
      <c r="E28" s="49">
        <v>0</v>
      </c>
      <c r="F28" s="221"/>
      <c r="G28" s="22">
        <f>24057.42-11500-8500</f>
        <v>4057.4199999999983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80</v>
      </c>
      <c r="C29" s="200"/>
      <c r="D29" s="201"/>
      <c r="E29" s="49">
        <v>452585.85</v>
      </c>
      <c r="F29" s="220"/>
      <c r="G29" s="22">
        <v>7266.99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344" t="s">
        <v>69</v>
      </c>
      <c r="C30" s="345"/>
      <c r="D30" s="346"/>
      <c r="E30" s="49">
        <f>13459.25+11216.05+31403.97</f>
        <v>56079.270000000004</v>
      </c>
      <c r="F30" s="220"/>
      <c r="G30" s="67">
        <v>1755.66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63" t="s">
        <v>29</v>
      </c>
      <c r="C31" s="364"/>
      <c r="D31" s="365"/>
      <c r="E31" s="66">
        <v>0</v>
      </c>
      <c r="F31" s="220"/>
      <c r="G31" s="71">
        <v>2215.66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79"/>
      <c r="F32" s="220"/>
      <c r="N32" s="269"/>
      <c r="P32" s="155"/>
      <c r="R32" s="155"/>
    </row>
    <row r="33" spans="5:18">
      <c r="E33" s="79"/>
      <c r="F33" s="220"/>
    </row>
    <row r="34" spans="5:18">
      <c r="E34" s="79"/>
      <c r="F34" s="220"/>
      <c r="H34" s="61"/>
      <c r="I34" s="61"/>
      <c r="J34" s="13"/>
      <c r="K34" s="61"/>
      <c r="L34" s="61"/>
      <c r="M34" s="61"/>
      <c r="N34" s="269"/>
      <c r="P34" s="155"/>
      <c r="R34" s="155"/>
    </row>
    <row r="35" spans="5:18">
      <c r="E35" s="79"/>
      <c r="F35" s="220"/>
      <c r="H35" s="61"/>
      <c r="I35" s="61"/>
      <c r="J35" s="13"/>
      <c r="K35" s="61"/>
      <c r="L35" s="61"/>
      <c r="M35" s="61"/>
    </row>
    <row r="36" spans="5:18" s="61" customFormat="1" ht="15" customHeight="1">
      <c r="E36" s="181" t="s">
        <v>354</v>
      </c>
      <c r="F36" s="222"/>
      <c r="G36" s="8"/>
      <c r="H36" s="13"/>
      <c r="J36" s="13"/>
      <c r="K36" s="83"/>
      <c r="L36" s="88"/>
      <c r="N36" s="272"/>
      <c r="P36" s="273"/>
      <c r="R36" s="273"/>
    </row>
    <row r="37" spans="5:18" s="61" customFormat="1" ht="15" customHeight="1">
      <c r="E37" s="181"/>
      <c r="F37" s="222"/>
      <c r="G37" s="181"/>
      <c r="H37" s="161"/>
      <c r="I37" s="197"/>
      <c r="J37" s="13"/>
      <c r="K37" s="83"/>
      <c r="L37" s="161"/>
      <c r="M37" s="197"/>
    </row>
    <row r="38" spans="5:18" s="61" customFormat="1" ht="15" customHeight="1">
      <c r="E38" s="8" t="s">
        <v>34</v>
      </c>
      <c r="F38" s="222">
        <f>F17</f>
        <v>795506.40999999992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5:18" s="61" customFormat="1" ht="15" customHeight="1">
      <c r="E39" s="8" t="s">
        <v>35</v>
      </c>
      <c r="F39" s="222">
        <f>+E19</f>
        <v>15295.729999999998</v>
      </c>
      <c r="G39" s="86"/>
      <c r="I39" s="197"/>
      <c r="J39" s="13"/>
      <c r="K39" s="85"/>
      <c r="M39" s="197"/>
    </row>
    <row r="40" spans="5:18" s="61" customFormat="1" ht="15" customHeight="1">
      <c r="E40" s="8" t="s">
        <v>36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5:18" s="61" customFormat="1" ht="15" customHeight="1">
      <c r="E41" s="8" t="s">
        <v>37</v>
      </c>
      <c r="F41" s="222">
        <v>0</v>
      </c>
      <c r="G41" s="9"/>
      <c r="I41" s="197"/>
      <c r="J41" s="13"/>
      <c r="M41" s="197"/>
    </row>
    <row r="42" spans="5:18" s="61" customFormat="1" ht="15" customHeight="1">
      <c r="E42" s="182" t="s">
        <v>38</v>
      </c>
      <c r="F42" s="223">
        <f>SUM(F38:F41)</f>
        <v>810802.1399999999</v>
      </c>
      <c r="G42" s="9"/>
      <c r="I42" s="197"/>
      <c r="J42" s="13"/>
      <c r="M42" s="197"/>
      <c r="N42" s="272"/>
      <c r="P42" s="273"/>
      <c r="R42" s="273"/>
    </row>
    <row r="43" spans="5:18" s="61" customFormat="1" ht="15" customHeight="1">
      <c r="E43" s="183"/>
      <c r="F43" s="224"/>
      <c r="G43" s="9"/>
      <c r="H43" s="163"/>
      <c r="I43" s="229"/>
      <c r="J43" s="13"/>
      <c r="L43" s="163"/>
      <c r="M43" s="229"/>
    </row>
    <row r="44" spans="5:18" s="61" customFormat="1" ht="15" customHeight="1">
      <c r="E44" s="183" t="s">
        <v>152</v>
      </c>
      <c r="F44" s="224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5:18" s="61" customFormat="1" ht="15" customHeight="1">
      <c r="E45" s="183" t="s">
        <v>355</v>
      </c>
      <c r="F45" s="224">
        <v>1300000</v>
      </c>
      <c r="G45" s="9"/>
      <c r="H45" s="165"/>
      <c r="I45" s="230"/>
      <c r="J45" s="13"/>
    </row>
    <row r="46" spans="5:18" s="61" customFormat="1" ht="15" customHeight="1">
      <c r="E46" s="183" t="s">
        <v>356</v>
      </c>
      <c r="F46" s="224">
        <v>120000</v>
      </c>
      <c r="G46" s="9"/>
      <c r="H46" s="165"/>
      <c r="I46" s="230"/>
      <c r="J46" s="13"/>
    </row>
    <row r="47" spans="5:18" s="61" customFormat="1" ht="15" customHeight="1">
      <c r="E47" s="183" t="s">
        <v>64</v>
      </c>
      <c r="F47" s="224">
        <v>0</v>
      </c>
      <c r="G47" s="9"/>
      <c r="H47" s="165"/>
      <c r="I47" s="230"/>
      <c r="J47" s="13"/>
    </row>
    <row r="48" spans="5:18" s="61" customFormat="1" ht="15" customHeight="1">
      <c r="E48" s="183" t="s">
        <v>69</v>
      </c>
      <c r="F48" s="224">
        <v>60000</v>
      </c>
      <c r="G48" s="9"/>
      <c r="H48" s="165"/>
      <c r="I48" s="230"/>
      <c r="J48" s="13"/>
    </row>
    <row r="49" spans="4:13" s="61" customFormat="1" ht="15" customHeight="1">
      <c r="E49" s="116" t="s">
        <v>24</v>
      </c>
      <c r="F49" s="220">
        <v>0</v>
      </c>
      <c r="G49" s="9"/>
      <c r="H49" s="165"/>
      <c r="I49" s="230"/>
      <c r="J49" s="13"/>
    </row>
    <row r="50" spans="4:13" s="61" customFormat="1">
      <c r="E50" s="116" t="s">
        <v>22</v>
      </c>
      <c r="F50" s="220">
        <v>50000</v>
      </c>
      <c r="G50" s="8"/>
      <c r="H50" s="91"/>
      <c r="I50" s="231"/>
      <c r="J50" s="13"/>
    </row>
    <row r="51" spans="4:13" s="61" customFormat="1">
      <c r="E51" s="116" t="s">
        <v>40</v>
      </c>
      <c r="F51" s="226">
        <f>200000-90000-60000</f>
        <v>50000</v>
      </c>
      <c r="G51" s="8"/>
      <c r="H51" s="96"/>
      <c r="I51" s="231"/>
      <c r="J51" s="262"/>
    </row>
    <row r="52" spans="4:13" s="61" customFormat="1">
      <c r="E52" s="118" t="s">
        <v>41</v>
      </c>
      <c r="F52" s="225">
        <f>SUM(F44:F51)</f>
        <v>1705000</v>
      </c>
      <c r="G52" s="82"/>
      <c r="H52" s="83"/>
      <c r="I52" s="228"/>
      <c r="J52" s="13"/>
    </row>
    <row r="53" spans="4:13" s="61" customFormat="1">
      <c r="E53" s="118" t="s">
        <v>42</v>
      </c>
      <c r="F53" s="225">
        <f>F42-F52</f>
        <v>-894197.8600000001</v>
      </c>
      <c r="G53" s="82"/>
      <c r="H53" s="83"/>
      <c r="I53" s="233"/>
      <c r="J53" s="13"/>
      <c r="L53" s="91"/>
      <c r="M53" s="232"/>
    </row>
    <row r="54" spans="4:13" s="61" customFormat="1">
      <c r="E54" s="8"/>
      <c r="F54" s="154"/>
      <c r="G54" s="82"/>
      <c r="H54" s="83"/>
      <c r="I54" s="233"/>
      <c r="J54" s="13"/>
      <c r="L54" s="91"/>
      <c r="M54" s="232"/>
    </row>
    <row r="55" spans="4:13" s="61" customFormat="1">
      <c r="E55" s="82" t="s">
        <v>43</v>
      </c>
      <c r="F55" s="80">
        <f>43800+180000</f>
        <v>223800</v>
      </c>
      <c r="G55" s="82"/>
      <c r="H55" s="83"/>
      <c r="I55" s="233"/>
      <c r="J55" s="13"/>
      <c r="L55" s="96"/>
      <c r="M55" s="231"/>
    </row>
    <row r="56" spans="4:13" s="61" customFormat="1">
      <c r="E56" s="82" t="s">
        <v>44</v>
      </c>
      <c r="F56" s="80">
        <v>365000</v>
      </c>
      <c r="G56" s="82"/>
      <c r="H56" s="96"/>
      <c r="I56" s="228"/>
      <c r="J56" s="13"/>
      <c r="L56" s="96"/>
      <c r="M56" s="233"/>
    </row>
    <row r="57" spans="4:13" s="61" customFormat="1">
      <c r="E57" s="82" t="s">
        <v>45</v>
      </c>
      <c r="F57" s="117">
        <v>0</v>
      </c>
      <c r="G57" s="82"/>
      <c r="H57" s="83"/>
      <c r="I57" s="233"/>
      <c r="J57" s="13"/>
    </row>
    <row r="58" spans="4:13" s="61" customFormat="1">
      <c r="E58" s="82" t="s">
        <v>205</v>
      </c>
      <c r="F58" s="117">
        <v>0</v>
      </c>
      <c r="G58"/>
      <c r="H58" s="96"/>
      <c r="I58" s="219"/>
      <c r="J58" s="13"/>
      <c r="L58" s="83"/>
      <c r="M58" s="228"/>
    </row>
    <row r="59" spans="4:13">
      <c r="E59" s="82" t="s">
        <v>206</v>
      </c>
      <c r="F59" s="117">
        <v>0</v>
      </c>
      <c r="H59" s="61"/>
      <c r="I59" s="61"/>
      <c r="J59" s="13"/>
      <c r="K59" s="61"/>
      <c r="L59" s="61"/>
      <c r="M59" s="61"/>
    </row>
    <row r="60" spans="4:13">
      <c r="E60" s="118" t="s">
        <v>46</v>
      </c>
      <c r="F60" s="120">
        <f>SUM(F55:F59)</f>
        <v>588800</v>
      </c>
      <c r="H60" s="61"/>
      <c r="I60" s="61"/>
      <c r="J60" s="13"/>
      <c r="K60" s="61"/>
      <c r="L60" s="61"/>
      <c r="M60" s="61"/>
    </row>
    <row r="61" spans="4:13">
      <c r="E61" s="82"/>
      <c r="F61" s="80"/>
    </row>
    <row r="62" spans="4:13">
      <c r="E62" s="118" t="s">
        <v>47</v>
      </c>
      <c r="F62" s="120">
        <f>F53-F60</f>
        <v>-1482997.86</v>
      </c>
      <c r="G62" s="8"/>
    </row>
    <row r="63" spans="4:13">
      <c r="D63" s="247" t="s">
        <v>192</v>
      </c>
      <c r="E63" s="8"/>
      <c r="F63" s="220"/>
      <c r="G63" s="8"/>
    </row>
    <row r="64" spans="4:13">
      <c r="D64" s="247" t="s">
        <v>194</v>
      </c>
      <c r="E64" s="8"/>
      <c r="G64" s="8"/>
    </row>
    <row r="65" spans="1:7">
      <c r="D65" s="8" t="s">
        <v>9</v>
      </c>
      <c r="E65" s="8"/>
      <c r="G65" s="8"/>
    </row>
    <row r="66" spans="1:7">
      <c r="D66" s="8" t="s">
        <v>195</v>
      </c>
      <c r="E66" s="8"/>
      <c r="G66" s="124">
        <f>SUM(E72:F72)</f>
        <v>0</v>
      </c>
    </row>
    <row r="67" spans="1:7">
      <c r="D67" s="8" t="s">
        <v>188</v>
      </c>
      <c r="E67" s="247"/>
      <c r="F67" s="275"/>
      <c r="G67" s="8"/>
    </row>
    <row r="68" spans="1:7">
      <c r="D68" s="8"/>
      <c r="E68" s="247"/>
      <c r="F68" s="286"/>
    </row>
    <row r="69" spans="1:7">
      <c r="E69" s="249"/>
      <c r="F69" s="246"/>
    </row>
    <row r="70" spans="1:7">
      <c r="E70" s="249"/>
      <c r="F70" s="287"/>
    </row>
    <row r="71" spans="1:7">
      <c r="E71" s="249"/>
      <c r="F71" s="287"/>
    </row>
    <row r="72" spans="1:7">
      <c r="E72" s="124"/>
      <c r="F72" s="287"/>
    </row>
    <row r="73" spans="1:7">
      <c r="E73" s="8"/>
    </row>
    <row r="74" spans="1:7">
      <c r="A74" s="268"/>
      <c r="E74" s="8"/>
    </row>
    <row r="75" spans="1:7">
      <c r="E75" s="8"/>
    </row>
    <row r="76" spans="1:7">
      <c r="E76" s="8"/>
    </row>
    <row r="77" spans="1:7">
      <c r="B77" s="235"/>
      <c r="E77" s="8"/>
    </row>
    <row r="78" spans="1:7">
      <c r="E78" s="8"/>
    </row>
    <row r="79" spans="1:7">
      <c r="E79" s="293"/>
    </row>
    <row r="80" spans="1:7">
      <c r="A80" s="269"/>
      <c r="C80" s="155"/>
      <c r="E80" s="8"/>
    </row>
    <row r="81" spans="1:5">
      <c r="E81" s="293"/>
    </row>
    <row r="82" spans="1:5">
      <c r="A82" s="269"/>
      <c r="C82" s="155"/>
      <c r="E82" s="8"/>
    </row>
    <row r="83" spans="1:5">
      <c r="E83" s="293"/>
    </row>
    <row r="84" spans="1:5">
      <c r="A84" s="269"/>
      <c r="C84" s="155"/>
      <c r="E84" s="8"/>
    </row>
    <row r="85" spans="1:5">
      <c r="E85" s="293"/>
    </row>
    <row r="86" spans="1:5">
      <c r="A86" s="269"/>
      <c r="C86" s="155"/>
      <c r="E86" s="8"/>
    </row>
    <row r="87" spans="1:5">
      <c r="E87" s="293"/>
    </row>
    <row r="88" spans="1:5">
      <c r="A88" s="269"/>
      <c r="C88" s="155"/>
      <c r="E88" s="8"/>
    </row>
    <row r="89" spans="1:5">
      <c r="E89" s="293"/>
    </row>
    <row r="90" spans="1:5">
      <c r="A90" s="269"/>
      <c r="C90" s="155"/>
      <c r="E90" s="8"/>
    </row>
    <row r="91" spans="1:5">
      <c r="E91" s="293"/>
    </row>
    <row r="92" spans="1:5">
      <c r="A92" s="269"/>
      <c r="C92" s="155"/>
      <c r="E92" s="8"/>
    </row>
    <row r="93" spans="1:5">
      <c r="E93" s="293"/>
    </row>
    <row r="94" spans="1:5">
      <c r="A94" s="269"/>
      <c r="C94" s="155"/>
      <c r="E94" s="8"/>
    </row>
    <row r="95" spans="1:5">
      <c r="E95" s="293"/>
    </row>
    <row r="96" spans="1:5">
      <c r="A96" s="269"/>
      <c r="C96" s="155"/>
      <c r="E96" s="8"/>
    </row>
    <row r="97" spans="1:5">
      <c r="E97" s="293"/>
    </row>
    <row r="98" spans="1:5">
      <c r="A98" s="269"/>
      <c r="C98" s="155"/>
      <c r="E98" s="8"/>
    </row>
    <row r="99" spans="1:5">
      <c r="E99" s="293"/>
    </row>
    <row r="100" spans="1:5">
      <c r="A100" s="269"/>
      <c r="C100" s="155"/>
      <c r="E100" s="8"/>
    </row>
    <row r="101" spans="1:5">
      <c r="E101" s="293"/>
    </row>
    <row r="102" spans="1:5">
      <c r="A102" s="269"/>
      <c r="C102" s="155"/>
      <c r="E102" s="8"/>
    </row>
    <row r="103" spans="1:5">
      <c r="E103" s="293"/>
    </row>
    <row r="104" spans="1:5">
      <c r="A104" s="269"/>
      <c r="C104" s="155"/>
      <c r="E104" s="8"/>
    </row>
    <row r="105" spans="1:5">
      <c r="E105" s="293"/>
    </row>
    <row r="106" spans="1:5">
      <c r="A106" s="269"/>
      <c r="C106" s="155"/>
      <c r="E106" s="8"/>
    </row>
    <row r="107" spans="1:5">
      <c r="E107" s="293"/>
    </row>
    <row r="108" spans="1:5">
      <c r="A108" s="269"/>
      <c r="C108" s="155"/>
      <c r="E108" s="8"/>
    </row>
    <row r="109" spans="1:5">
      <c r="E109" s="293"/>
    </row>
    <row r="110" spans="1:5">
      <c r="A110" s="269"/>
      <c r="C110" s="155"/>
      <c r="E110" s="8"/>
    </row>
    <row r="111" spans="1:5">
      <c r="E111" s="277"/>
    </row>
    <row r="112" spans="1:5">
      <c r="A112" s="269"/>
      <c r="C112" s="155"/>
      <c r="E112" s="79"/>
    </row>
    <row r="113" spans="1:5">
      <c r="E113" s="277"/>
    </row>
    <row r="114" spans="1:5">
      <c r="A114" s="269"/>
      <c r="C114" s="155"/>
      <c r="E114" s="79"/>
    </row>
    <row r="115" spans="1:5">
      <c r="E115" s="277"/>
    </row>
    <row r="116" spans="1:5">
      <c r="A116" s="269"/>
      <c r="C116" s="155"/>
      <c r="E116" s="79"/>
    </row>
    <row r="117" spans="1:5">
      <c r="E117" s="277"/>
    </row>
    <row r="118" spans="1:5">
      <c r="A118" s="269"/>
      <c r="C118" s="155"/>
      <c r="E118" s="79"/>
    </row>
    <row r="119" spans="1:5">
      <c r="E119" s="277"/>
    </row>
    <row r="120" spans="1:5">
      <c r="A120" s="269"/>
      <c r="C120" s="155"/>
      <c r="E120" s="79"/>
    </row>
    <row r="121" spans="1:5">
      <c r="E121" s="277"/>
    </row>
    <row r="122" spans="1:5">
      <c r="A122" s="269"/>
      <c r="C122" s="155"/>
      <c r="E122" s="79"/>
    </row>
    <row r="123" spans="1:5">
      <c r="E123" s="277"/>
    </row>
    <row r="124" spans="1:5">
      <c r="A124" s="269"/>
      <c r="C124" s="155"/>
    </row>
    <row r="125" spans="1:5">
      <c r="E125" s="155"/>
    </row>
    <row r="126" spans="1:5">
      <c r="A126" s="269"/>
      <c r="C126" s="155"/>
    </row>
    <row r="127" spans="1:5">
      <c r="E127" s="155"/>
    </row>
    <row r="128" spans="1:5">
      <c r="A128" s="269"/>
      <c r="C128" s="155"/>
    </row>
    <row r="129" spans="1:5">
      <c r="E129" s="155"/>
    </row>
    <row r="130" spans="1:5">
      <c r="A130" s="269"/>
      <c r="C130" s="155"/>
    </row>
    <row r="131" spans="1:5">
      <c r="E131" s="155"/>
    </row>
    <row r="132" spans="1:5">
      <c r="A132" s="269"/>
      <c r="C132" s="155"/>
    </row>
    <row r="133" spans="1:5">
      <c r="E133" s="155"/>
    </row>
    <row r="134" spans="1:5">
      <c r="A134" s="269"/>
      <c r="C134" s="155"/>
    </row>
    <row r="135" spans="1:5">
      <c r="E135" s="155"/>
    </row>
    <row r="136" spans="1:5">
      <c r="A136" s="269"/>
      <c r="C136" s="155"/>
    </row>
    <row r="137" spans="1:5">
      <c r="E137" s="155"/>
    </row>
    <row r="138" spans="1:5">
      <c r="A138" s="269"/>
      <c r="C138" s="155"/>
    </row>
    <row r="139" spans="1:5">
      <c r="E139" s="155"/>
    </row>
    <row r="140" spans="1:5">
      <c r="A140" s="269"/>
      <c r="C140" s="155"/>
    </row>
    <row r="141" spans="1:5">
      <c r="E141" s="155"/>
    </row>
    <row r="142" spans="1:5">
      <c r="A142" s="269"/>
      <c r="C142" s="155"/>
    </row>
    <row r="143" spans="1:5">
      <c r="E143" s="155"/>
    </row>
    <row r="144" spans="1:5">
      <c r="A144" s="269"/>
      <c r="C144" s="155"/>
    </row>
    <row r="145" spans="1:5">
      <c r="E145" s="155"/>
    </row>
    <row r="146" spans="1:5">
      <c r="A146" s="269"/>
      <c r="C146" s="155"/>
    </row>
    <row r="147" spans="1:5">
      <c r="E147" s="155"/>
    </row>
    <row r="148" spans="1:5">
      <c r="A148" s="269"/>
      <c r="C148" s="155"/>
    </row>
    <row r="149" spans="1:5">
      <c r="E149" s="155"/>
    </row>
    <row r="150" spans="1:5">
      <c r="A150" s="269"/>
      <c r="C150" s="155"/>
    </row>
    <row r="151" spans="1:5">
      <c r="E151" s="155"/>
    </row>
    <row r="152" spans="1:5">
      <c r="A152" s="269"/>
      <c r="C152" s="155"/>
    </row>
    <row r="153" spans="1:5">
      <c r="E153" s="155"/>
    </row>
    <row r="154" spans="1:5">
      <c r="A154" s="269"/>
      <c r="C154" s="155"/>
    </row>
    <row r="155" spans="1:5">
      <c r="E155" s="155"/>
    </row>
    <row r="156" spans="1:5">
      <c r="A156" s="269"/>
      <c r="C156" s="155"/>
    </row>
    <row r="157" spans="1:5">
      <c r="E157" s="155"/>
    </row>
    <row r="158" spans="1:5">
      <c r="A158" s="269"/>
      <c r="C158" s="155"/>
    </row>
    <row r="159" spans="1:5">
      <c r="E159" s="155"/>
    </row>
    <row r="160" spans="1:5">
      <c r="A160" s="269"/>
      <c r="C160" s="155"/>
    </row>
    <row r="161" spans="1:5">
      <c r="E161" s="155"/>
    </row>
    <row r="162" spans="1:5">
      <c r="A162" s="269"/>
      <c r="C162" s="155"/>
    </row>
    <row r="163" spans="1:5">
      <c r="E163" s="155"/>
    </row>
    <row r="164" spans="1:5">
      <c r="A164" s="269"/>
      <c r="C164" s="155"/>
    </row>
    <row r="165" spans="1:5">
      <c r="E165" s="155"/>
    </row>
    <row r="166" spans="1:5">
      <c r="A166" s="269"/>
      <c r="C166" s="155"/>
    </row>
    <row r="167" spans="1:5">
      <c r="E167" s="155"/>
    </row>
    <row r="168" spans="1:5">
      <c r="A168" s="269"/>
      <c r="C168" s="155"/>
    </row>
    <row r="169" spans="1:5">
      <c r="E169" s="155"/>
    </row>
    <row r="170" spans="1:5">
      <c r="A170" s="269"/>
      <c r="C170" s="155"/>
    </row>
    <row r="171" spans="1:5">
      <c r="E171" s="155"/>
    </row>
    <row r="172" spans="1:5">
      <c r="A172" s="269"/>
      <c r="C172" s="155"/>
    </row>
    <row r="173" spans="1:5">
      <c r="E173" s="155"/>
    </row>
    <row r="174" spans="1:5">
      <c r="A174" s="269"/>
      <c r="C174" s="155"/>
    </row>
    <row r="175" spans="1:5">
      <c r="E175" s="155"/>
    </row>
    <row r="176" spans="1:5">
      <c r="A176" s="269"/>
      <c r="C176" s="155"/>
    </row>
    <row r="177" spans="1:5">
      <c r="E177" s="155"/>
    </row>
    <row r="178" spans="1:5">
      <c r="A178" s="269"/>
      <c r="C178" s="155"/>
    </row>
    <row r="179" spans="1:5">
      <c r="E179" s="155"/>
    </row>
    <row r="180" spans="1:5">
      <c r="A180" s="269"/>
      <c r="C180" s="155"/>
    </row>
    <row r="181" spans="1:5">
      <c r="E181" s="155"/>
    </row>
    <row r="182" spans="1:5">
      <c r="A182" s="269"/>
      <c r="C182" s="155"/>
    </row>
    <row r="183" spans="1:5">
      <c r="E183" s="155"/>
    </row>
    <row r="184" spans="1:5">
      <c r="A184" s="269"/>
      <c r="C184" s="155"/>
    </row>
    <row r="185" spans="1:5">
      <c r="E185" s="155"/>
    </row>
    <row r="186" spans="1:5">
      <c r="A186" s="269"/>
      <c r="C186" s="155"/>
    </row>
    <row r="187" spans="1:5">
      <c r="E187" s="155"/>
    </row>
    <row r="188" spans="1:5">
      <c r="A188" s="269"/>
      <c r="C188" s="155"/>
    </row>
    <row r="189" spans="1:5">
      <c r="E189" s="155"/>
    </row>
    <row r="190" spans="1:5">
      <c r="A190" s="269"/>
      <c r="C190" s="155"/>
    </row>
    <row r="191" spans="1:5">
      <c r="E191" s="155"/>
    </row>
    <row r="192" spans="1:5">
      <c r="A192" s="269"/>
      <c r="C192" s="155"/>
    </row>
    <row r="193" spans="1:5">
      <c r="E193" s="155"/>
    </row>
    <row r="194" spans="1:5">
      <c r="A194" s="269"/>
      <c r="C194" s="155"/>
    </row>
    <row r="195" spans="1:5">
      <c r="E195" s="155"/>
    </row>
    <row r="196" spans="1:5">
      <c r="A196" s="269"/>
      <c r="C196" s="155"/>
    </row>
    <row r="197" spans="1:5">
      <c r="E197" s="155"/>
    </row>
    <row r="198" spans="1:5">
      <c r="A198" s="269"/>
      <c r="C198" s="155"/>
    </row>
    <row r="199" spans="1:5">
      <c r="E199" s="155"/>
    </row>
    <row r="200" spans="1:5">
      <c r="A200" s="269"/>
      <c r="D200" s="155"/>
    </row>
    <row r="201" spans="1:5">
      <c r="E201" s="155"/>
    </row>
    <row r="202" spans="1:5">
      <c r="A202" s="269"/>
      <c r="C202" s="155"/>
    </row>
    <row r="203" spans="1:5">
      <c r="E203" s="155"/>
    </row>
    <row r="204" spans="1:5">
      <c r="A204" s="269"/>
      <c r="C204" s="155"/>
    </row>
    <row r="205" spans="1:5">
      <c r="E205" s="155"/>
    </row>
    <row r="206" spans="1:5">
      <c r="A206" s="269"/>
      <c r="C206" s="155"/>
    </row>
    <row r="207" spans="1:5">
      <c r="E207" s="155"/>
    </row>
    <row r="208" spans="1:5">
      <c r="A208" s="269"/>
      <c r="C208" s="155"/>
    </row>
    <row r="209" spans="1:5">
      <c r="E209" s="155"/>
    </row>
    <row r="210" spans="1:5">
      <c r="A210" s="269"/>
      <c r="C210" s="155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87893-88D8-4D0B-AD47-7B0B84EDC7C8}">
  <dimension ref="A6:R210"/>
  <sheetViews>
    <sheetView showGridLines="0" workbookViewId="0">
      <selection activeCell="G30" sqref="G30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34" t="s">
        <v>3</v>
      </c>
      <c r="C14" s="335"/>
      <c r="D14" s="336"/>
      <c r="E14" s="17">
        <f>SUM(E15:E17)</f>
        <v>1161175.01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37" t="s">
        <v>5</v>
      </c>
      <c r="C15" s="338"/>
      <c r="D15" s="339"/>
      <c r="E15" s="20">
        <f>J16+J17+J18+J19</f>
        <v>953264.56</v>
      </c>
      <c r="F15" s="153">
        <f>E15+E16+E17</f>
        <v>1161175.01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349" t="s">
        <v>7</v>
      </c>
      <c r="C16" s="350"/>
      <c r="D16" s="351"/>
      <c r="E16" s="20">
        <f>G22+G23</f>
        <v>50014.05</v>
      </c>
      <c r="F16" s="153">
        <v>90000</v>
      </c>
      <c r="G16" s="22">
        <v>10197.469999999999</v>
      </c>
      <c r="H16" s="23" t="s">
        <v>8</v>
      </c>
      <c r="I16" s="24"/>
      <c r="J16" s="25">
        <v>21001.71</v>
      </c>
      <c r="K16" s="26" t="s">
        <v>9</v>
      </c>
      <c r="L16" s="13"/>
      <c r="N16" s="3"/>
    </row>
    <row r="17" spans="2:18">
      <c r="B17" s="352" t="s">
        <v>6</v>
      </c>
      <c r="C17" s="353"/>
      <c r="D17" s="354"/>
      <c r="E17" s="28">
        <f>G16+G17+G18</f>
        <v>157896.4</v>
      </c>
      <c r="F17" s="153">
        <f>+F15-F16</f>
        <v>1071175.01</v>
      </c>
      <c r="G17" s="22">
        <v>57154.51</v>
      </c>
      <c r="H17" s="29" t="s">
        <v>10</v>
      </c>
      <c r="I17" s="30"/>
      <c r="J17" s="25">
        <v>350575.66</v>
      </c>
      <c r="K17" s="31" t="s">
        <v>10</v>
      </c>
      <c r="N17" s="3"/>
    </row>
    <row r="18" spans="2:18">
      <c r="B18" s="236" t="s">
        <v>187</v>
      </c>
      <c r="C18" s="237"/>
      <c r="D18" s="238"/>
      <c r="E18" s="28">
        <f>+J22</f>
        <v>11107</v>
      </c>
      <c r="F18" s="153"/>
      <c r="G18" s="22">
        <v>90544.42</v>
      </c>
      <c r="H18" s="29" t="s">
        <v>12</v>
      </c>
      <c r="I18" s="30"/>
      <c r="J18" s="25">
        <v>524211.64</v>
      </c>
      <c r="K18" s="31" t="s">
        <v>12</v>
      </c>
      <c r="L18" s="152"/>
      <c r="N18" s="3"/>
    </row>
    <row r="19" spans="2:18">
      <c r="B19" s="379" t="s">
        <v>11</v>
      </c>
      <c r="C19" s="380"/>
      <c r="D19" s="381"/>
      <c r="E19" s="20">
        <f>G29+G31+G30+G28</f>
        <v>143798.19999999995</v>
      </c>
      <c r="F19" s="153"/>
      <c r="G19" s="33"/>
      <c r="H19" s="34"/>
      <c r="I19" s="30"/>
      <c r="J19" s="25">
        <v>57475.55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18891564.489999998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SUM(E22:E24)</f>
        <v>49923.54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362</v>
      </c>
      <c r="E22" s="190">
        <v>49923.54</v>
      </c>
      <c r="F22" s="153"/>
      <c r="G22" s="44">
        <v>21274.84</v>
      </c>
      <c r="H22" s="29" t="s">
        <v>10</v>
      </c>
      <c r="I22" s="30"/>
      <c r="J22" s="25">
        <v>11107</v>
      </c>
      <c r="K22" s="31" t="s">
        <v>188</v>
      </c>
      <c r="O22" s="235"/>
    </row>
    <row r="23" spans="2:18">
      <c r="B23" s="187"/>
      <c r="C23" s="188"/>
      <c r="D23" s="198"/>
      <c r="E23" s="190">
        <v>0</v>
      </c>
      <c r="F23" s="153"/>
      <c r="G23" s="44">
        <v>28739.21</v>
      </c>
      <c r="H23" s="29" t="s">
        <v>18</v>
      </c>
      <c r="I23" s="30"/>
      <c r="J23" s="25"/>
      <c r="K23" s="31"/>
    </row>
    <row r="24" spans="2:18" ht="15" thickBot="1">
      <c r="B24" s="206"/>
      <c r="C24" s="205"/>
      <c r="D24" s="208"/>
      <c r="E24" s="190">
        <v>0</v>
      </c>
      <c r="F24" s="220"/>
      <c r="G24" s="51"/>
      <c r="H24" s="34"/>
      <c r="I24" s="30"/>
      <c r="J24" s="210"/>
      <c r="K24" s="53"/>
      <c r="N24" s="290"/>
    </row>
    <row r="25" spans="2:18" ht="15" thickBot="1">
      <c r="B25" s="46" t="s">
        <v>17</v>
      </c>
      <c r="C25" s="47"/>
      <c r="D25" s="48"/>
      <c r="E25" s="234">
        <f>8000+2500+22019.26</f>
        <v>32519.26</v>
      </c>
      <c r="F25" s="153">
        <f>+F17-E25</f>
        <v>1038655.75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202" t="s">
        <v>361</v>
      </c>
      <c r="C26" s="203"/>
      <c r="D26" s="204"/>
      <c r="E26" s="234">
        <v>0</v>
      </c>
      <c r="F26" s="288">
        <f>SUM(E25:E31)</f>
        <v>294449.41000000003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22</v>
      </c>
      <c r="C27" s="200"/>
      <c r="D27" s="201"/>
      <c r="E27" s="234">
        <v>0</v>
      </c>
      <c r="F27" s="153">
        <f>+F25-F26</f>
        <v>744206.34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199" t="s">
        <v>24</v>
      </c>
      <c r="C28" s="200"/>
      <c r="D28" s="201"/>
      <c r="E28" s="234">
        <v>205850.88000000003</v>
      </c>
      <c r="F28" s="221"/>
      <c r="G28" s="22">
        <f>24139.25-11500-8500</f>
        <v>4139.25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80</v>
      </c>
      <c r="C29" s="200"/>
      <c r="D29" s="201"/>
      <c r="E29" s="49">
        <v>0</v>
      </c>
      <c r="F29" s="220"/>
      <c r="G29" s="22">
        <f>227910.61-169594.28</f>
        <v>58316.329999999987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344" t="s">
        <v>69</v>
      </c>
      <c r="C30" s="345"/>
      <c r="D30" s="346"/>
      <c r="E30" s="49">
        <f>31403.97+11216.05+13459.25</f>
        <v>56079.270000000004</v>
      </c>
      <c r="F30" s="220"/>
      <c r="G30" s="67">
        <v>1765.29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63" t="s">
        <v>29</v>
      </c>
      <c r="C31" s="364"/>
      <c r="D31" s="365"/>
      <c r="E31" s="66">
        <v>0</v>
      </c>
      <c r="F31" s="220"/>
      <c r="G31" s="71">
        <f>656867.33-647290+70000</f>
        <v>79577.329999999958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79"/>
      <c r="F32" s="220"/>
      <c r="N32" s="269"/>
      <c r="P32" s="155"/>
      <c r="R32" s="155"/>
    </row>
    <row r="33" spans="5:18">
      <c r="E33" s="79"/>
      <c r="F33" s="220"/>
    </row>
    <row r="34" spans="5:18">
      <c r="E34" s="79"/>
      <c r="F34" s="220"/>
      <c r="H34" s="61"/>
      <c r="I34" s="61"/>
      <c r="J34" s="13"/>
      <c r="K34" s="61"/>
      <c r="L34" s="61"/>
      <c r="M34" s="61"/>
      <c r="N34" s="269"/>
      <c r="P34" s="155"/>
      <c r="R34" s="155"/>
    </row>
    <row r="35" spans="5:18">
      <c r="E35" s="79"/>
      <c r="F35" s="220"/>
      <c r="H35" s="61"/>
      <c r="I35" s="61"/>
      <c r="J35" s="13"/>
      <c r="K35" s="61"/>
      <c r="L35" s="61"/>
      <c r="M35" s="61"/>
    </row>
    <row r="36" spans="5:18" s="61" customFormat="1" ht="15" customHeight="1">
      <c r="E36" s="181" t="s">
        <v>354</v>
      </c>
      <c r="F36" s="222"/>
      <c r="G36" s="8"/>
      <c r="H36" s="13"/>
      <c r="J36" s="13"/>
      <c r="K36" s="83"/>
      <c r="L36" s="88"/>
      <c r="N36" s="272"/>
      <c r="P36" s="273"/>
      <c r="R36" s="273"/>
    </row>
    <row r="37" spans="5:18" s="61" customFormat="1" ht="15" customHeight="1">
      <c r="E37" s="181"/>
      <c r="F37" s="222"/>
      <c r="G37" s="181"/>
      <c r="H37" s="161"/>
      <c r="I37" s="197"/>
      <c r="J37" s="13"/>
      <c r="K37" s="83"/>
      <c r="L37" s="161"/>
      <c r="M37" s="197"/>
    </row>
    <row r="38" spans="5:18" s="61" customFormat="1" ht="15" customHeight="1">
      <c r="E38" s="8" t="s">
        <v>34</v>
      </c>
      <c r="F38" s="222">
        <f>F17</f>
        <v>1071175.01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5:18" s="61" customFormat="1" ht="15" customHeight="1">
      <c r="E39" s="8" t="s">
        <v>35</v>
      </c>
      <c r="F39" s="222">
        <f>+E19</f>
        <v>143798.19999999995</v>
      </c>
      <c r="G39" s="86"/>
      <c r="I39" s="197"/>
      <c r="J39" s="13"/>
      <c r="K39" s="85"/>
      <c r="M39" s="197"/>
    </row>
    <row r="40" spans="5:18" s="61" customFormat="1" ht="15" customHeight="1">
      <c r="E40" s="8" t="s">
        <v>36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5:18" s="61" customFormat="1" ht="15" customHeight="1">
      <c r="E41" s="8" t="s">
        <v>37</v>
      </c>
      <c r="F41" s="222">
        <v>0</v>
      </c>
      <c r="G41" s="9"/>
      <c r="I41" s="197"/>
      <c r="J41" s="13"/>
      <c r="M41" s="197"/>
    </row>
    <row r="42" spans="5:18" s="61" customFormat="1" ht="15" customHeight="1">
      <c r="E42" s="182" t="s">
        <v>38</v>
      </c>
      <c r="F42" s="223">
        <f>SUM(F38:F41)</f>
        <v>1214973.21</v>
      </c>
      <c r="G42" s="9"/>
      <c r="I42" s="197"/>
      <c r="J42" s="13"/>
      <c r="M42" s="197"/>
      <c r="N42" s="272"/>
      <c r="P42" s="273"/>
      <c r="R42" s="273"/>
    </row>
    <row r="43" spans="5:18" s="61" customFormat="1" ht="15" customHeight="1">
      <c r="E43" s="183"/>
      <c r="F43" s="224"/>
      <c r="G43" s="9"/>
      <c r="H43" s="163"/>
      <c r="I43" s="229"/>
      <c r="J43" s="13"/>
      <c r="L43" s="163"/>
      <c r="M43" s="229"/>
    </row>
    <row r="44" spans="5:18" s="61" customFormat="1" ht="15" customHeight="1">
      <c r="E44" s="183" t="s">
        <v>152</v>
      </c>
      <c r="F44" s="224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5:18" s="61" customFormat="1" ht="15" customHeight="1">
      <c r="E45" s="183" t="s">
        <v>355</v>
      </c>
      <c r="F45" s="224">
        <v>1300000</v>
      </c>
      <c r="G45" s="9"/>
      <c r="H45" s="165"/>
      <c r="I45" s="230"/>
      <c r="J45" s="13"/>
    </row>
    <row r="46" spans="5:18" s="61" customFormat="1" ht="15" customHeight="1">
      <c r="E46" s="183" t="s">
        <v>356</v>
      </c>
      <c r="F46" s="224">
        <v>120000</v>
      </c>
      <c r="G46" s="9"/>
      <c r="H46" s="165"/>
      <c r="I46" s="230"/>
      <c r="J46" s="13"/>
    </row>
    <row r="47" spans="5:18" s="61" customFormat="1" ht="15" customHeight="1">
      <c r="E47" s="183" t="s">
        <v>64</v>
      </c>
      <c r="F47" s="224">
        <v>0</v>
      </c>
      <c r="G47" s="9"/>
      <c r="H47" s="165"/>
      <c r="I47" s="230"/>
      <c r="J47" s="13"/>
    </row>
    <row r="48" spans="5:18" s="61" customFormat="1" ht="15" customHeight="1">
      <c r="E48" s="183" t="s">
        <v>69</v>
      </c>
      <c r="F48" s="224">
        <v>60000</v>
      </c>
      <c r="G48" s="9"/>
      <c r="H48" s="165"/>
      <c r="I48" s="230"/>
      <c r="J48" s="13"/>
    </row>
    <row r="49" spans="4:13" s="61" customFormat="1" ht="15" customHeight="1">
      <c r="E49" s="116" t="s">
        <v>24</v>
      </c>
      <c r="F49" s="220">
        <v>0</v>
      </c>
      <c r="G49" s="9"/>
      <c r="H49" s="165"/>
      <c r="I49" s="230"/>
      <c r="J49" s="13"/>
    </row>
    <row r="50" spans="4:13" s="61" customFormat="1">
      <c r="E50" s="116" t="s">
        <v>22</v>
      </c>
      <c r="F50" s="220">
        <v>50000</v>
      </c>
      <c r="G50" s="8"/>
      <c r="H50" s="91"/>
      <c r="I50" s="231"/>
      <c r="J50" s="13"/>
    </row>
    <row r="51" spans="4:13" s="61" customFormat="1">
      <c r="E51" s="116" t="s">
        <v>40</v>
      </c>
      <c r="F51" s="226">
        <f>200000-90000-60000</f>
        <v>50000</v>
      </c>
      <c r="G51" s="8"/>
      <c r="H51" s="96"/>
      <c r="I51" s="231"/>
      <c r="J51" s="262"/>
    </row>
    <row r="52" spans="4:13" s="61" customFormat="1">
      <c r="E52" s="118" t="s">
        <v>41</v>
      </c>
      <c r="F52" s="225">
        <f>SUM(F44:F51)</f>
        <v>1705000</v>
      </c>
      <c r="G52" s="82"/>
      <c r="H52" s="83"/>
      <c r="I52" s="228"/>
      <c r="J52" s="13"/>
    </row>
    <row r="53" spans="4:13" s="61" customFormat="1">
      <c r="E53" s="118" t="s">
        <v>42</v>
      </c>
      <c r="F53" s="225">
        <f>F42-F52</f>
        <v>-490026.79000000004</v>
      </c>
      <c r="G53" s="82"/>
      <c r="H53" s="83"/>
      <c r="I53" s="233"/>
      <c r="J53" s="13"/>
      <c r="L53" s="91"/>
      <c r="M53" s="232"/>
    </row>
    <row r="54" spans="4:13" s="61" customFormat="1">
      <c r="E54" s="8"/>
      <c r="F54" s="154"/>
      <c r="G54" s="82"/>
      <c r="H54" s="83"/>
      <c r="I54" s="233"/>
      <c r="J54" s="13"/>
      <c r="L54" s="91"/>
      <c r="M54" s="232"/>
    </row>
    <row r="55" spans="4:13" s="61" customFormat="1">
      <c r="E55" s="82" t="s">
        <v>43</v>
      </c>
      <c r="F55" s="80">
        <f>43800+180000</f>
        <v>223800</v>
      </c>
      <c r="G55" s="82"/>
      <c r="H55" s="83"/>
      <c r="I55" s="233"/>
      <c r="J55" s="13"/>
      <c r="L55" s="96"/>
      <c r="M55" s="231"/>
    </row>
    <row r="56" spans="4:13" s="61" customFormat="1">
      <c r="E56" s="82" t="s">
        <v>44</v>
      </c>
      <c r="F56" s="80">
        <v>365000</v>
      </c>
      <c r="G56" s="82"/>
      <c r="H56" s="96"/>
      <c r="I56" s="228"/>
      <c r="J56" s="13"/>
      <c r="L56" s="96"/>
      <c r="M56" s="233"/>
    </row>
    <row r="57" spans="4:13" s="61" customFormat="1">
      <c r="E57" s="82" t="s">
        <v>45</v>
      </c>
      <c r="F57" s="117">
        <v>0</v>
      </c>
      <c r="G57" s="82"/>
      <c r="H57" s="83"/>
      <c r="I57" s="233"/>
      <c r="J57" s="13"/>
    </row>
    <row r="58" spans="4:13" s="61" customFormat="1">
      <c r="E58" s="82" t="s">
        <v>205</v>
      </c>
      <c r="F58" s="117">
        <v>0</v>
      </c>
      <c r="G58"/>
      <c r="H58" s="96"/>
      <c r="I58" s="219"/>
      <c r="J58" s="13"/>
      <c r="L58" s="83"/>
      <c r="M58" s="228"/>
    </row>
    <row r="59" spans="4:13">
      <c r="E59" s="82" t="s">
        <v>206</v>
      </c>
      <c r="F59" s="117">
        <v>0</v>
      </c>
      <c r="H59" s="61"/>
      <c r="I59" s="61"/>
      <c r="J59" s="13"/>
      <c r="K59" s="61"/>
      <c r="L59" s="61"/>
      <c r="M59" s="61"/>
    </row>
    <row r="60" spans="4:13">
      <c r="E60" s="118" t="s">
        <v>46</v>
      </c>
      <c r="F60" s="120">
        <f>SUM(F55:F59)</f>
        <v>588800</v>
      </c>
      <c r="H60" s="61"/>
      <c r="I60" s="61"/>
      <c r="J60" s="13"/>
      <c r="K60" s="61"/>
      <c r="L60" s="61"/>
      <c r="M60" s="61"/>
    </row>
    <row r="61" spans="4:13">
      <c r="E61" s="82"/>
      <c r="F61" s="80"/>
    </row>
    <row r="62" spans="4:13">
      <c r="E62" s="118" t="s">
        <v>47</v>
      </c>
      <c r="F62" s="120">
        <f>F53-F60</f>
        <v>-1078826.79</v>
      </c>
      <c r="G62" s="8"/>
    </row>
    <row r="63" spans="4:13">
      <c r="D63" s="247" t="s">
        <v>192</v>
      </c>
      <c r="E63" s="8"/>
      <c r="F63" s="220"/>
      <c r="G63" s="8"/>
    </row>
    <row r="64" spans="4:13">
      <c r="D64" s="247" t="s">
        <v>194</v>
      </c>
      <c r="E64" s="8"/>
      <c r="G64" s="8"/>
    </row>
    <row r="65" spans="1:7">
      <c r="D65" s="8" t="s">
        <v>9</v>
      </c>
      <c r="E65" s="8"/>
      <c r="G65" s="8"/>
    </row>
    <row r="66" spans="1:7">
      <c r="D66" s="8" t="s">
        <v>195</v>
      </c>
      <c r="E66" s="8"/>
      <c r="G66" s="124">
        <f>SUM(E72:F72)</f>
        <v>0</v>
      </c>
    </row>
    <row r="67" spans="1:7">
      <c r="D67" s="8" t="s">
        <v>188</v>
      </c>
      <c r="E67" s="247"/>
      <c r="F67" s="275"/>
      <c r="G67" s="8"/>
    </row>
    <row r="68" spans="1:7">
      <c r="D68" s="8"/>
      <c r="E68" s="247"/>
      <c r="F68" s="286"/>
    </row>
    <row r="69" spans="1:7">
      <c r="E69" s="249"/>
      <c r="F69" s="246"/>
    </row>
    <row r="70" spans="1:7">
      <c r="E70" s="249"/>
      <c r="F70" s="287"/>
    </row>
    <row r="71" spans="1:7">
      <c r="E71" s="249"/>
      <c r="F71" s="287"/>
    </row>
    <row r="72" spans="1:7">
      <c r="E72" s="124"/>
      <c r="F72" s="287"/>
    </row>
    <row r="73" spans="1:7">
      <c r="E73" s="8"/>
    </row>
    <row r="74" spans="1:7">
      <c r="A74" s="268"/>
      <c r="E74" s="8"/>
    </row>
    <row r="75" spans="1:7">
      <c r="E75" s="8"/>
    </row>
    <row r="76" spans="1:7">
      <c r="E76" s="8"/>
    </row>
    <row r="77" spans="1:7">
      <c r="B77" s="235"/>
      <c r="E77" s="8"/>
    </row>
    <row r="78" spans="1:7">
      <c r="E78" s="8"/>
    </row>
    <row r="79" spans="1:7">
      <c r="E79" s="293"/>
    </row>
    <row r="80" spans="1:7">
      <c r="A80" s="269"/>
      <c r="C80" s="155"/>
      <c r="E80" s="8"/>
    </row>
    <row r="81" spans="1:5">
      <c r="E81" s="293"/>
    </row>
    <row r="82" spans="1:5">
      <c r="A82" s="269"/>
      <c r="C82" s="155"/>
      <c r="E82" s="8"/>
    </row>
    <row r="83" spans="1:5">
      <c r="E83" s="293"/>
    </row>
    <row r="84" spans="1:5">
      <c r="A84" s="269"/>
      <c r="C84" s="155"/>
      <c r="E84" s="8"/>
    </row>
    <row r="85" spans="1:5">
      <c r="E85" s="293"/>
    </row>
    <row r="86" spans="1:5">
      <c r="A86" s="269"/>
      <c r="C86" s="155"/>
      <c r="E86" s="8"/>
    </row>
    <row r="87" spans="1:5">
      <c r="E87" s="293"/>
    </row>
    <row r="88" spans="1:5">
      <c r="A88" s="269"/>
      <c r="C88" s="155"/>
      <c r="E88" s="8"/>
    </row>
    <row r="89" spans="1:5">
      <c r="E89" s="293"/>
    </row>
    <row r="90" spans="1:5">
      <c r="A90" s="269"/>
      <c r="C90" s="155"/>
      <c r="E90" s="8"/>
    </row>
    <row r="91" spans="1:5">
      <c r="E91" s="293"/>
    </row>
    <row r="92" spans="1:5">
      <c r="A92" s="269"/>
      <c r="C92" s="155"/>
      <c r="E92" s="8"/>
    </row>
    <row r="93" spans="1:5">
      <c r="E93" s="293"/>
    </row>
    <row r="94" spans="1:5">
      <c r="A94" s="269"/>
      <c r="C94" s="155"/>
      <c r="E94" s="8"/>
    </row>
    <row r="95" spans="1:5">
      <c r="E95" s="293"/>
    </row>
    <row r="96" spans="1:5">
      <c r="A96" s="269"/>
      <c r="C96" s="155"/>
      <c r="E96" s="8"/>
    </row>
    <row r="97" spans="1:5">
      <c r="E97" s="293"/>
    </row>
    <row r="98" spans="1:5">
      <c r="A98" s="269"/>
      <c r="C98" s="155"/>
      <c r="E98" s="8"/>
    </row>
    <row r="99" spans="1:5">
      <c r="E99" s="293"/>
    </row>
    <row r="100" spans="1:5">
      <c r="A100" s="269"/>
      <c r="C100" s="155"/>
      <c r="E100" s="8"/>
    </row>
    <row r="101" spans="1:5">
      <c r="E101" s="293"/>
    </row>
    <row r="102" spans="1:5">
      <c r="A102" s="269"/>
      <c r="C102" s="155"/>
      <c r="E102" s="8"/>
    </row>
    <row r="103" spans="1:5">
      <c r="E103" s="293"/>
    </row>
    <row r="104" spans="1:5">
      <c r="A104" s="269"/>
      <c r="C104" s="155"/>
      <c r="E104" s="8"/>
    </row>
    <row r="105" spans="1:5">
      <c r="E105" s="293"/>
    </row>
    <row r="106" spans="1:5">
      <c r="A106" s="269"/>
      <c r="C106" s="155"/>
      <c r="E106" s="8"/>
    </row>
    <row r="107" spans="1:5">
      <c r="E107" s="293"/>
    </row>
    <row r="108" spans="1:5">
      <c r="A108" s="269"/>
      <c r="C108" s="155"/>
      <c r="E108" s="8"/>
    </row>
    <row r="109" spans="1:5">
      <c r="E109" s="293"/>
    </row>
    <row r="110" spans="1:5">
      <c r="A110" s="269"/>
      <c r="C110" s="155"/>
      <c r="E110" s="8"/>
    </row>
    <row r="111" spans="1:5">
      <c r="E111" s="277"/>
    </row>
    <row r="112" spans="1:5">
      <c r="A112" s="269"/>
      <c r="C112" s="155"/>
      <c r="E112" s="79"/>
    </row>
    <row r="113" spans="1:5">
      <c r="E113" s="277"/>
    </row>
    <row r="114" spans="1:5">
      <c r="A114" s="269"/>
      <c r="C114" s="155"/>
      <c r="E114" s="79"/>
    </row>
    <row r="115" spans="1:5">
      <c r="E115" s="277"/>
    </row>
    <row r="116" spans="1:5">
      <c r="A116" s="269"/>
      <c r="C116" s="155"/>
      <c r="E116" s="79"/>
    </row>
    <row r="117" spans="1:5">
      <c r="E117" s="277"/>
    </row>
    <row r="118" spans="1:5">
      <c r="A118" s="269"/>
      <c r="C118" s="155"/>
      <c r="E118" s="79"/>
    </row>
    <row r="119" spans="1:5">
      <c r="E119" s="277"/>
    </row>
    <row r="120" spans="1:5">
      <c r="A120" s="269"/>
      <c r="C120" s="155"/>
      <c r="E120" s="79"/>
    </row>
    <row r="121" spans="1:5">
      <c r="E121" s="277"/>
    </row>
    <row r="122" spans="1:5">
      <c r="A122" s="269"/>
      <c r="C122" s="155"/>
      <c r="E122" s="79"/>
    </row>
    <row r="123" spans="1:5">
      <c r="E123" s="277"/>
    </row>
    <row r="124" spans="1:5">
      <c r="A124" s="269"/>
      <c r="C124" s="155"/>
    </row>
    <row r="125" spans="1:5">
      <c r="E125" s="155"/>
    </row>
    <row r="126" spans="1:5">
      <c r="A126" s="269"/>
      <c r="C126" s="155"/>
    </row>
    <row r="127" spans="1:5">
      <c r="E127" s="155"/>
    </row>
    <row r="128" spans="1:5">
      <c r="A128" s="269"/>
      <c r="C128" s="155"/>
    </row>
    <row r="129" spans="1:5">
      <c r="E129" s="155"/>
    </row>
    <row r="130" spans="1:5">
      <c r="A130" s="269"/>
      <c r="C130" s="155"/>
    </row>
    <row r="131" spans="1:5">
      <c r="E131" s="155"/>
    </row>
    <row r="132" spans="1:5">
      <c r="A132" s="269"/>
      <c r="C132" s="155"/>
    </row>
    <row r="133" spans="1:5">
      <c r="E133" s="155"/>
    </row>
    <row r="134" spans="1:5">
      <c r="A134" s="269"/>
      <c r="C134" s="155"/>
    </row>
    <row r="135" spans="1:5">
      <c r="E135" s="155"/>
    </row>
    <row r="136" spans="1:5">
      <c r="A136" s="269"/>
      <c r="C136" s="155"/>
    </row>
    <row r="137" spans="1:5">
      <c r="E137" s="155"/>
    </row>
    <row r="138" spans="1:5">
      <c r="A138" s="269"/>
      <c r="C138" s="155"/>
    </row>
    <row r="139" spans="1:5">
      <c r="E139" s="155"/>
    </row>
    <row r="140" spans="1:5">
      <c r="A140" s="269"/>
      <c r="C140" s="155"/>
    </row>
    <row r="141" spans="1:5">
      <c r="E141" s="155"/>
    </row>
    <row r="142" spans="1:5">
      <c r="A142" s="269"/>
      <c r="C142" s="155"/>
    </row>
    <row r="143" spans="1:5">
      <c r="E143" s="155"/>
    </row>
    <row r="144" spans="1:5">
      <c r="A144" s="269"/>
      <c r="C144" s="155"/>
    </row>
    <row r="145" spans="1:5">
      <c r="E145" s="155"/>
    </row>
    <row r="146" spans="1:5">
      <c r="A146" s="269"/>
      <c r="C146" s="155"/>
    </row>
    <row r="147" spans="1:5">
      <c r="E147" s="155"/>
    </row>
    <row r="148" spans="1:5">
      <c r="A148" s="269"/>
      <c r="C148" s="155"/>
    </row>
    <row r="149" spans="1:5">
      <c r="E149" s="155"/>
    </row>
    <row r="150" spans="1:5">
      <c r="A150" s="269"/>
      <c r="C150" s="155"/>
    </row>
    <row r="151" spans="1:5">
      <c r="E151" s="155"/>
    </row>
    <row r="152" spans="1:5">
      <c r="A152" s="269"/>
      <c r="C152" s="155"/>
    </row>
    <row r="153" spans="1:5">
      <c r="E153" s="155"/>
    </row>
    <row r="154" spans="1:5">
      <c r="A154" s="269"/>
      <c r="C154" s="155"/>
    </row>
    <row r="155" spans="1:5">
      <c r="E155" s="155"/>
    </row>
    <row r="156" spans="1:5">
      <c r="A156" s="269"/>
      <c r="C156" s="155"/>
    </row>
    <row r="157" spans="1:5">
      <c r="E157" s="155"/>
    </row>
    <row r="158" spans="1:5">
      <c r="A158" s="269"/>
      <c r="C158" s="155"/>
    </row>
    <row r="159" spans="1:5">
      <c r="E159" s="155"/>
    </row>
    <row r="160" spans="1:5">
      <c r="A160" s="269"/>
      <c r="C160" s="155"/>
    </row>
    <row r="161" spans="1:5">
      <c r="E161" s="155"/>
    </row>
    <row r="162" spans="1:5">
      <c r="A162" s="269"/>
      <c r="C162" s="155"/>
    </row>
    <row r="163" spans="1:5">
      <c r="E163" s="155"/>
    </row>
    <row r="164" spans="1:5">
      <c r="A164" s="269"/>
      <c r="C164" s="155"/>
    </row>
    <row r="165" spans="1:5">
      <c r="E165" s="155"/>
    </row>
    <row r="166" spans="1:5">
      <c r="A166" s="269"/>
      <c r="C166" s="155"/>
    </row>
    <row r="167" spans="1:5">
      <c r="E167" s="155"/>
    </row>
    <row r="168" spans="1:5">
      <c r="A168" s="269"/>
      <c r="C168" s="155"/>
    </row>
    <row r="169" spans="1:5">
      <c r="E169" s="155"/>
    </row>
    <row r="170" spans="1:5">
      <c r="A170" s="269"/>
      <c r="C170" s="155"/>
    </row>
    <row r="171" spans="1:5">
      <c r="E171" s="155"/>
    </row>
    <row r="172" spans="1:5">
      <c r="A172" s="269"/>
      <c r="C172" s="155"/>
    </row>
    <row r="173" spans="1:5">
      <c r="E173" s="155"/>
    </row>
    <row r="174" spans="1:5">
      <c r="A174" s="269"/>
      <c r="C174" s="155"/>
    </row>
    <row r="175" spans="1:5">
      <c r="E175" s="155"/>
    </row>
    <row r="176" spans="1:5">
      <c r="A176" s="269"/>
      <c r="C176" s="155"/>
    </row>
    <row r="177" spans="1:5">
      <c r="E177" s="155"/>
    </row>
    <row r="178" spans="1:5">
      <c r="A178" s="269"/>
      <c r="C178" s="155"/>
    </row>
    <row r="179" spans="1:5">
      <c r="E179" s="155"/>
    </row>
    <row r="180" spans="1:5">
      <c r="A180" s="269"/>
      <c r="C180" s="155"/>
    </row>
    <row r="181" spans="1:5">
      <c r="E181" s="155"/>
    </row>
    <row r="182" spans="1:5">
      <c r="A182" s="269"/>
      <c r="C182" s="155"/>
    </row>
    <row r="183" spans="1:5">
      <c r="E183" s="155"/>
    </row>
    <row r="184" spans="1:5">
      <c r="A184" s="269"/>
      <c r="C184" s="155"/>
    </row>
    <row r="185" spans="1:5">
      <c r="E185" s="155"/>
    </row>
    <row r="186" spans="1:5">
      <c r="A186" s="269"/>
      <c r="C186" s="155"/>
    </row>
    <row r="187" spans="1:5">
      <c r="E187" s="155"/>
    </row>
    <row r="188" spans="1:5">
      <c r="A188" s="269"/>
      <c r="C188" s="155"/>
    </row>
    <row r="189" spans="1:5">
      <c r="E189" s="155"/>
    </row>
    <row r="190" spans="1:5">
      <c r="A190" s="269"/>
      <c r="C190" s="155"/>
    </row>
    <row r="191" spans="1:5">
      <c r="E191" s="155"/>
    </row>
    <row r="192" spans="1:5">
      <c r="A192" s="269"/>
      <c r="C192" s="155"/>
    </row>
    <row r="193" spans="1:5">
      <c r="E193" s="155"/>
    </row>
    <row r="194" spans="1:5">
      <c r="A194" s="269"/>
      <c r="C194" s="155"/>
    </row>
    <row r="195" spans="1:5">
      <c r="E195" s="155"/>
    </row>
    <row r="196" spans="1:5">
      <c r="A196" s="269"/>
      <c r="C196" s="155"/>
    </row>
    <row r="197" spans="1:5">
      <c r="E197" s="155"/>
    </row>
    <row r="198" spans="1:5">
      <c r="A198" s="269"/>
      <c r="C198" s="155"/>
    </row>
    <row r="199" spans="1:5">
      <c r="E199" s="155"/>
    </row>
    <row r="200" spans="1:5">
      <c r="A200" s="269"/>
      <c r="D200" s="155"/>
    </row>
    <row r="201" spans="1:5">
      <c r="E201" s="155"/>
    </row>
    <row r="202" spans="1:5">
      <c r="A202" s="269"/>
      <c r="C202" s="155"/>
    </row>
    <row r="203" spans="1:5">
      <c r="E203" s="155"/>
    </row>
    <row r="204" spans="1:5">
      <c r="A204" s="269"/>
      <c r="C204" s="155"/>
    </row>
    <row r="205" spans="1:5">
      <c r="E205" s="155"/>
    </row>
    <row r="206" spans="1:5">
      <c r="A206" s="269"/>
      <c r="C206" s="155"/>
    </row>
    <row r="207" spans="1:5">
      <c r="E207" s="155"/>
    </row>
    <row r="208" spans="1:5">
      <c r="A208" s="269"/>
      <c r="C208" s="155"/>
    </row>
    <row r="209" spans="1:5">
      <c r="E209" s="155"/>
    </row>
    <row r="210" spans="1:5">
      <c r="A210" s="269"/>
      <c r="C210" s="155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ignoredErrors>
    <ignoredError sqref="E21" formulaRange="1"/>
  </ignoredErrors>
  <drawing r:id="rId1"/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7C9C1-915C-41DB-8295-22418B8F7E96}">
  <dimension ref="A6:R210"/>
  <sheetViews>
    <sheetView showGridLines="0" workbookViewId="0">
      <selection activeCell="J11" sqref="J11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34" t="s">
        <v>3</v>
      </c>
      <c r="C14" s="335"/>
      <c r="D14" s="336"/>
      <c r="E14" s="17">
        <f>SUM(E15:E17)</f>
        <v>868683.45000000007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37" t="s">
        <v>5</v>
      </c>
      <c r="C15" s="338"/>
      <c r="D15" s="339"/>
      <c r="E15" s="20">
        <f>J16+J17+J18+J19</f>
        <v>774362.4</v>
      </c>
      <c r="F15" s="153">
        <f>E15+E16+E17</f>
        <v>868683.45000000007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349" t="s">
        <v>7</v>
      </c>
      <c r="C16" s="350"/>
      <c r="D16" s="351"/>
      <c r="E16" s="20">
        <f>G22+G23</f>
        <v>15337</v>
      </c>
      <c r="F16" s="153">
        <v>90000</v>
      </c>
      <c r="G16" s="22">
        <v>10197.469999999999</v>
      </c>
      <c r="H16" s="23" t="s">
        <v>8</v>
      </c>
      <c r="I16" s="24"/>
      <c r="J16" s="25">
        <v>9785.66</v>
      </c>
      <c r="K16" s="26" t="s">
        <v>9</v>
      </c>
      <c r="L16" s="13"/>
      <c r="N16" s="3"/>
    </row>
    <row r="17" spans="2:18">
      <c r="B17" s="352" t="s">
        <v>6</v>
      </c>
      <c r="C17" s="353"/>
      <c r="D17" s="354"/>
      <c r="E17" s="28">
        <f>G16+G17+G18</f>
        <v>78984.05</v>
      </c>
      <c r="F17" s="153">
        <f>+F15-F16</f>
        <v>778683.45000000007</v>
      </c>
      <c r="G17" s="22">
        <v>7111.42</v>
      </c>
      <c r="H17" s="29" t="s">
        <v>10</v>
      </c>
      <c r="I17" s="30"/>
      <c r="J17" s="25">
        <v>263852.56</v>
      </c>
      <c r="K17" s="31" t="s">
        <v>10</v>
      </c>
      <c r="N17" s="3"/>
    </row>
    <row r="18" spans="2:18">
      <c r="B18" s="236" t="s">
        <v>187</v>
      </c>
      <c r="C18" s="237"/>
      <c r="D18" s="238"/>
      <c r="E18" s="28">
        <f>+J22</f>
        <v>11107</v>
      </c>
      <c r="F18" s="153"/>
      <c r="G18" s="22">
        <v>61675.16</v>
      </c>
      <c r="H18" s="29" t="s">
        <v>12</v>
      </c>
      <c r="I18" s="30"/>
      <c r="J18" s="25">
        <v>448492.38</v>
      </c>
      <c r="K18" s="31" t="s">
        <v>12</v>
      </c>
      <c r="L18" s="152"/>
      <c r="N18" s="3"/>
    </row>
    <row r="19" spans="2:18">
      <c r="B19" s="379" t="s">
        <v>11</v>
      </c>
      <c r="C19" s="380"/>
      <c r="D19" s="381"/>
      <c r="E19" s="20">
        <f>G29+G31+G30+G28</f>
        <v>144004.78000000003</v>
      </c>
      <c r="F19" s="153"/>
      <c r="G19" s="33"/>
      <c r="H19" s="34"/>
      <c r="I19" s="30"/>
      <c r="J19" s="25">
        <v>52231.8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18841640.949999999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SUM(E22:E24)</f>
        <v>309984.10000000003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363</v>
      </c>
      <c r="E22" s="190">
        <v>32480</v>
      </c>
      <c r="F22" s="153"/>
      <c r="G22" s="44">
        <v>57.04</v>
      </c>
      <c r="H22" s="29" t="s">
        <v>10</v>
      </c>
      <c r="I22" s="30"/>
      <c r="J22" s="25">
        <v>11107</v>
      </c>
      <c r="K22" s="31" t="s">
        <v>188</v>
      </c>
      <c r="O22" s="235"/>
    </row>
    <row r="23" spans="2:18">
      <c r="B23" s="187"/>
      <c r="C23" s="188"/>
      <c r="D23" s="198" t="s">
        <v>132</v>
      </c>
      <c r="E23" s="190">
        <v>7305.45</v>
      </c>
      <c r="F23" s="153"/>
      <c r="G23" s="44">
        <v>15279.96</v>
      </c>
      <c r="H23" s="29" t="s">
        <v>18</v>
      </c>
      <c r="I23" s="30"/>
      <c r="J23" s="25"/>
      <c r="K23" s="31"/>
    </row>
    <row r="24" spans="2:18" ht="15" thickBot="1">
      <c r="B24" s="206"/>
      <c r="C24" s="205"/>
      <c r="D24" s="208" t="s">
        <v>143</v>
      </c>
      <c r="E24" s="190">
        <v>270198.65000000002</v>
      </c>
      <c r="F24" s="220"/>
      <c r="G24" s="51"/>
      <c r="H24" s="34"/>
      <c r="I24" s="30"/>
      <c r="J24" s="210"/>
      <c r="K24" s="53"/>
      <c r="N24" s="290"/>
    </row>
    <row r="25" spans="2:18" ht="15" thickBot="1">
      <c r="B25" s="46" t="s">
        <v>17</v>
      </c>
      <c r="C25" s="47"/>
      <c r="D25" s="48"/>
      <c r="E25" s="234">
        <v>2100</v>
      </c>
      <c r="F25" s="153">
        <f>+F17-E25</f>
        <v>776583.45000000007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202" t="s">
        <v>361</v>
      </c>
      <c r="C26" s="203"/>
      <c r="D26" s="204"/>
      <c r="E26" s="234">
        <v>0</v>
      </c>
      <c r="F26" s="288">
        <f>SUM(E25:E31)</f>
        <v>2427.8000000000002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22</v>
      </c>
      <c r="C27" s="200"/>
      <c r="D27" s="201"/>
      <c r="E27" s="234">
        <v>327.8</v>
      </c>
      <c r="F27" s="153">
        <f>+F25-F26</f>
        <v>774155.65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199" t="s">
        <v>24</v>
      </c>
      <c r="C28" s="200"/>
      <c r="D28" s="201"/>
      <c r="E28" s="234">
        <v>0</v>
      </c>
      <c r="F28" s="221"/>
      <c r="G28" s="22">
        <f>24142.15-11500-8500</f>
        <v>4142.1500000000015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80</v>
      </c>
      <c r="C29" s="200"/>
      <c r="D29" s="201"/>
      <c r="E29" s="49">
        <v>0</v>
      </c>
      <c r="F29" s="220"/>
      <c r="G29" s="22">
        <f>227942-169594.28</f>
        <v>58347.72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344" t="s">
        <v>69</v>
      </c>
      <c r="C30" s="345"/>
      <c r="D30" s="346"/>
      <c r="E30" s="49">
        <v>0</v>
      </c>
      <c r="F30" s="220"/>
      <c r="G30" s="67">
        <v>1765.64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63" t="s">
        <v>29</v>
      </c>
      <c r="C31" s="364"/>
      <c r="D31" s="365"/>
      <c r="E31" s="66">
        <v>0</v>
      </c>
      <c r="F31" s="220"/>
      <c r="G31" s="71">
        <f>657039.27-647290+70000</f>
        <v>79749.270000000019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79"/>
      <c r="F32" s="220"/>
      <c r="N32" s="269"/>
      <c r="P32" s="155"/>
      <c r="R32" s="155"/>
    </row>
    <row r="33" spans="5:18">
      <c r="E33" s="79"/>
      <c r="F33" s="220"/>
    </row>
    <row r="34" spans="5:18">
      <c r="E34" s="79"/>
      <c r="F34" s="220"/>
      <c r="H34" s="61"/>
      <c r="I34" s="61"/>
      <c r="J34" s="13"/>
      <c r="K34" s="61"/>
      <c r="L34" s="61"/>
      <c r="M34" s="61"/>
      <c r="N34" s="269"/>
      <c r="P34" s="155"/>
      <c r="R34" s="155"/>
    </row>
    <row r="35" spans="5:18">
      <c r="E35" s="79"/>
      <c r="F35" s="220"/>
      <c r="H35" s="61"/>
      <c r="I35" s="61"/>
      <c r="J35" s="13"/>
      <c r="K35" s="61"/>
      <c r="L35" s="61"/>
      <c r="M35" s="61"/>
    </row>
    <row r="36" spans="5:18" s="61" customFormat="1" ht="15" customHeight="1">
      <c r="E36" s="181" t="s">
        <v>354</v>
      </c>
      <c r="F36" s="222"/>
      <c r="G36" s="8"/>
      <c r="H36" s="13"/>
      <c r="J36" s="13"/>
      <c r="K36" s="83"/>
      <c r="L36" s="88"/>
      <c r="N36" s="272"/>
      <c r="P36" s="273"/>
      <c r="R36" s="273"/>
    </row>
    <row r="37" spans="5:18" s="61" customFormat="1" ht="15" customHeight="1">
      <c r="E37" s="181"/>
      <c r="F37" s="222"/>
      <c r="G37" s="181"/>
      <c r="H37" s="161"/>
      <c r="I37" s="197"/>
      <c r="J37" s="13"/>
      <c r="K37" s="83"/>
      <c r="L37" s="161"/>
      <c r="M37" s="197"/>
    </row>
    <row r="38" spans="5:18" s="61" customFormat="1" ht="15" customHeight="1">
      <c r="E38" s="8" t="s">
        <v>34</v>
      </c>
      <c r="F38" s="222">
        <f>F17</f>
        <v>778683.45000000007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5:18" s="61" customFormat="1" ht="15" customHeight="1">
      <c r="E39" s="8" t="s">
        <v>35</v>
      </c>
      <c r="F39" s="222">
        <f>+E19</f>
        <v>144004.78000000003</v>
      </c>
      <c r="G39" s="86"/>
      <c r="I39" s="197"/>
      <c r="J39" s="13"/>
      <c r="K39" s="85"/>
      <c r="M39" s="197"/>
    </row>
    <row r="40" spans="5:18" s="61" customFormat="1" ht="15" customHeight="1">
      <c r="E40" s="8" t="s">
        <v>36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5:18" s="61" customFormat="1" ht="15" customHeight="1">
      <c r="E41" s="8" t="s">
        <v>37</v>
      </c>
      <c r="F41" s="222">
        <v>0</v>
      </c>
      <c r="G41" s="9"/>
      <c r="I41" s="197"/>
      <c r="J41" s="13"/>
      <c r="M41" s="197"/>
    </row>
    <row r="42" spans="5:18" s="61" customFormat="1" ht="15" customHeight="1">
      <c r="E42" s="182" t="s">
        <v>38</v>
      </c>
      <c r="F42" s="223">
        <f>SUM(F38:F41)</f>
        <v>922688.2300000001</v>
      </c>
      <c r="G42" s="9"/>
      <c r="I42" s="197"/>
      <c r="J42" s="13"/>
      <c r="M42" s="197"/>
      <c r="N42" s="272"/>
      <c r="P42" s="273"/>
      <c r="R42" s="273"/>
    </row>
    <row r="43" spans="5:18" s="61" customFormat="1" ht="15" customHeight="1">
      <c r="E43" s="183"/>
      <c r="F43" s="224"/>
      <c r="G43" s="9"/>
      <c r="H43" s="163"/>
      <c r="I43" s="229"/>
      <c r="J43" s="13"/>
      <c r="L43" s="163"/>
      <c r="M43" s="229"/>
    </row>
    <row r="44" spans="5:18" s="61" customFormat="1" ht="15" customHeight="1">
      <c r="E44" s="183" t="s">
        <v>152</v>
      </c>
      <c r="F44" s="224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5:18" s="61" customFormat="1" ht="15" customHeight="1">
      <c r="E45" s="183" t="s">
        <v>355</v>
      </c>
      <c r="F45" s="224">
        <v>1300000</v>
      </c>
      <c r="G45" s="9"/>
      <c r="H45" s="165"/>
      <c r="I45" s="230"/>
      <c r="J45" s="13"/>
    </row>
    <row r="46" spans="5:18" s="61" customFormat="1" ht="15" customHeight="1">
      <c r="E46" s="183" t="s">
        <v>356</v>
      </c>
      <c r="F46" s="224">
        <v>120000</v>
      </c>
      <c r="G46" s="9"/>
      <c r="H46" s="165"/>
      <c r="I46" s="230"/>
      <c r="J46" s="13"/>
    </row>
    <row r="47" spans="5:18" s="61" customFormat="1" ht="15" customHeight="1">
      <c r="E47" s="183" t="s">
        <v>64</v>
      </c>
      <c r="F47" s="224">
        <v>0</v>
      </c>
      <c r="G47" s="9"/>
      <c r="H47" s="165"/>
      <c r="I47" s="230"/>
      <c r="J47" s="13"/>
    </row>
    <row r="48" spans="5:18" s="61" customFormat="1" ht="15" customHeight="1">
      <c r="E48" s="183" t="s">
        <v>69</v>
      </c>
      <c r="F48" s="224">
        <v>60000</v>
      </c>
      <c r="G48" s="9"/>
      <c r="H48" s="165"/>
      <c r="I48" s="230"/>
      <c r="J48" s="13"/>
    </row>
    <row r="49" spans="4:13" s="61" customFormat="1" ht="15" customHeight="1">
      <c r="E49" s="116" t="s">
        <v>24</v>
      </c>
      <c r="F49" s="220">
        <v>0</v>
      </c>
      <c r="G49" s="9"/>
      <c r="H49" s="165"/>
      <c r="I49" s="230"/>
      <c r="J49" s="13"/>
    </row>
    <row r="50" spans="4:13" s="61" customFormat="1">
      <c r="E50" s="116" t="s">
        <v>22</v>
      </c>
      <c r="F50" s="220">
        <v>50000</v>
      </c>
      <c r="G50" s="8"/>
      <c r="H50" s="91"/>
      <c r="I50" s="231"/>
      <c r="J50" s="13"/>
    </row>
    <row r="51" spans="4:13" s="61" customFormat="1">
      <c r="E51" s="116" t="s">
        <v>40</v>
      </c>
      <c r="F51" s="226">
        <f>200000-90000-60000</f>
        <v>50000</v>
      </c>
      <c r="G51" s="8"/>
      <c r="H51" s="96"/>
      <c r="I51" s="231"/>
      <c r="J51" s="262"/>
    </row>
    <row r="52" spans="4:13" s="61" customFormat="1">
      <c r="E52" s="118" t="s">
        <v>41</v>
      </c>
      <c r="F52" s="225">
        <f>SUM(F44:F51)</f>
        <v>1705000</v>
      </c>
      <c r="G52" s="82"/>
      <c r="H52" s="83"/>
      <c r="I52" s="228"/>
      <c r="J52" s="13"/>
    </row>
    <row r="53" spans="4:13" s="61" customFormat="1">
      <c r="E53" s="118" t="s">
        <v>42</v>
      </c>
      <c r="F53" s="225">
        <f>F42-F52</f>
        <v>-782311.7699999999</v>
      </c>
      <c r="G53" s="82"/>
      <c r="H53" s="83"/>
      <c r="I53" s="233"/>
      <c r="J53" s="13"/>
      <c r="L53" s="91"/>
      <c r="M53" s="232"/>
    </row>
    <row r="54" spans="4:13" s="61" customFormat="1">
      <c r="E54" s="8"/>
      <c r="F54" s="154"/>
      <c r="G54" s="82"/>
      <c r="H54" s="83"/>
      <c r="I54" s="233"/>
      <c r="J54" s="13"/>
      <c r="L54" s="91"/>
      <c r="M54" s="232"/>
    </row>
    <row r="55" spans="4:13" s="61" customFormat="1">
      <c r="E55" s="82" t="s">
        <v>43</v>
      </c>
      <c r="F55" s="80">
        <f>43800+180000</f>
        <v>223800</v>
      </c>
      <c r="G55" s="82"/>
      <c r="H55" s="83"/>
      <c r="I55" s="233"/>
      <c r="J55" s="13"/>
      <c r="L55" s="96"/>
      <c r="M55" s="231"/>
    </row>
    <row r="56" spans="4:13" s="61" customFormat="1">
      <c r="E56" s="82" t="s">
        <v>44</v>
      </c>
      <c r="F56" s="80">
        <v>365000</v>
      </c>
      <c r="G56" s="82"/>
      <c r="H56" s="96"/>
      <c r="I56" s="228"/>
      <c r="J56" s="13"/>
      <c r="L56" s="96"/>
      <c r="M56" s="233"/>
    </row>
    <row r="57" spans="4:13" s="61" customFormat="1">
      <c r="E57" s="82" t="s">
        <v>45</v>
      </c>
      <c r="F57" s="117">
        <v>0</v>
      </c>
      <c r="G57" s="82"/>
      <c r="H57" s="83"/>
      <c r="I57" s="233"/>
      <c r="J57" s="13"/>
    </row>
    <row r="58" spans="4:13" s="61" customFormat="1">
      <c r="E58" s="82" t="s">
        <v>205</v>
      </c>
      <c r="F58" s="117">
        <v>0</v>
      </c>
      <c r="G58"/>
      <c r="H58" s="96"/>
      <c r="I58" s="219"/>
      <c r="J58" s="13"/>
      <c r="L58" s="83"/>
      <c r="M58" s="228"/>
    </row>
    <row r="59" spans="4:13">
      <c r="E59" s="82" t="s">
        <v>206</v>
      </c>
      <c r="F59" s="117">
        <v>0</v>
      </c>
      <c r="H59" s="61"/>
      <c r="I59" s="61"/>
      <c r="J59" s="13"/>
      <c r="K59" s="61"/>
      <c r="L59" s="61"/>
      <c r="M59" s="61"/>
    </row>
    <row r="60" spans="4:13">
      <c r="E60" s="118" t="s">
        <v>46</v>
      </c>
      <c r="F60" s="120">
        <f>SUM(F55:F59)</f>
        <v>588800</v>
      </c>
      <c r="H60" s="61"/>
      <c r="I60" s="61"/>
      <c r="J60" s="13"/>
      <c r="K60" s="61"/>
      <c r="L60" s="61"/>
      <c r="M60" s="61"/>
    </row>
    <row r="61" spans="4:13">
      <c r="E61" s="82"/>
      <c r="F61" s="80"/>
    </row>
    <row r="62" spans="4:13">
      <c r="E62" s="118" t="s">
        <v>47</v>
      </c>
      <c r="F62" s="120">
        <f>F53-F60</f>
        <v>-1371111.77</v>
      </c>
      <c r="G62" s="8"/>
    </row>
    <row r="63" spans="4:13">
      <c r="D63" s="247" t="s">
        <v>192</v>
      </c>
      <c r="E63" s="8"/>
      <c r="F63" s="220"/>
      <c r="G63" s="8"/>
    </row>
    <row r="64" spans="4:13">
      <c r="D64" s="247" t="s">
        <v>194</v>
      </c>
      <c r="E64" s="8"/>
      <c r="G64" s="8"/>
    </row>
    <row r="65" spans="1:7">
      <c r="D65" s="8" t="s">
        <v>9</v>
      </c>
      <c r="E65" s="8"/>
      <c r="G65" s="8"/>
    </row>
    <row r="66" spans="1:7">
      <c r="D66" s="8" t="s">
        <v>195</v>
      </c>
      <c r="E66" s="8"/>
      <c r="G66" s="124">
        <f>SUM(E72:F72)</f>
        <v>0</v>
      </c>
    </row>
    <row r="67" spans="1:7">
      <c r="D67" s="8" t="s">
        <v>188</v>
      </c>
      <c r="E67" s="247"/>
      <c r="F67" s="275"/>
      <c r="G67" s="8"/>
    </row>
    <row r="68" spans="1:7">
      <c r="D68" s="8"/>
      <c r="E68" s="247"/>
      <c r="F68" s="286"/>
    </row>
    <row r="69" spans="1:7">
      <c r="E69" s="249"/>
      <c r="F69" s="246"/>
    </row>
    <row r="70" spans="1:7">
      <c r="E70" s="249"/>
      <c r="F70" s="287"/>
    </row>
    <row r="71" spans="1:7">
      <c r="E71" s="249"/>
      <c r="F71" s="287"/>
    </row>
    <row r="72" spans="1:7">
      <c r="E72" s="124"/>
      <c r="F72" s="287"/>
    </row>
    <row r="73" spans="1:7">
      <c r="E73" s="8"/>
    </row>
    <row r="74" spans="1:7">
      <c r="A74" s="268"/>
      <c r="E74" s="8"/>
    </row>
    <row r="75" spans="1:7">
      <c r="E75" s="8"/>
    </row>
    <row r="76" spans="1:7">
      <c r="E76" s="8"/>
    </row>
    <row r="77" spans="1:7">
      <c r="B77" s="235"/>
      <c r="E77" s="8"/>
    </row>
    <row r="78" spans="1:7">
      <c r="E78" s="8"/>
    </row>
    <row r="79" spans="1:7">
      <c r="E79" s="293"/>
    </row>
    <row r="80" spans="1:7">
      <c r="A80" s="269"/>
      <c r="C80" s="155"/>
      <c r="E80" s="8"/>
    </row>
    <row r="81" spans="1:5">
      <c r="E81" s="293"/>
    </row>
    <row r="82" spans="1:5">
      <c r="A82" s="269"/>
      <c r="C82" s="155"/>
      <c r="E82" s="8"/>
    </row>
    <row r="83" spans="1:5">
      <c r="E83" s="293"/>
    </row>
    <row r="84" spans="1:5">
      <c r="A84" s="269"/>
      <c r="C84" s="155"/>
      <c r="E84" s="8"/>
    </row>
    <row r="85" spans="1:5">
      <c r="E85" s="293"/>
    </row>
    <row r="86" spans="1:5">
      <c r="A86" s="269"/>
      <c r="C86" s="155"/>
      <c r="E86" s="8"/>
    </row>
    <row r="87" spans="1:5">
      <c r="E87" s="293"/>
    </row>
    <row r="88" spans="1:5">
      <c r="A88" s="269"/>
      <c r="C88" s="155"/>
      <c r="E88" s="8"/>
    </row>
    <row r="89" spans="1:5">
      <c r="E89" s="293"/>
    </row>
    <row r="90" spans="1:5">
      <c r="A90" s="269"/>
      <c r="C90" s="155"/>
      <c r="E90" s="8"/>
    </row>
    <row r="91" spans="1:5">
      <c r="E91" s="293"/>
    </row>
    <row r="92" spans="1:5">
      <c r="A92" s="269"/>
      <c r="C92" s="155"/>
      <c r="E92" s="8"/>
    </row>
    <row r="93" spans="1:5">
      <c r="E93" s="293"/>
    </row>
    <row r="94" spans="1:5">
      <c r="A94" s="269"/>
      <c r="C94" s="155"/>
      <c r="E94" s="8"/>
    </row>
    <row r="95" spans="1:5">
      <c r="E95" s="293"/>
    </row>
    <row r="96" spans="1:5">
      <c r="A96" s="269"/>
      <c r="C96" s="155"/>
      <c r="E96" s="8"/>
    </row>
    <row r="97" spans="1:5">
      <c r="E97" s="293"/>
    </row>
    <row r="98" spans="1:5">
      <c r="A98" s="269"/>
      <c r="C98" s="155"/>
      <c r="E98" s="8"/>
    </row>
    <row r="99" spans="1:5">
      <c r="E99" s="293"/>
    </row>
    <row r="100" spans="1:5">
      <c r="A100" s="269"/>
      <c r="C100" s="155"/>
      <c r="E100" s="8"/>
    </row>
    <row r="101" spans="1:5">
      <c r="E101" s="293"/>
    </row>
    <row r="102" spans="1:5">
      <c r="A102" s="269"/>
      <c r="C102" s="155"/>
      <c r="E102" s="8"/>
    </row>
    <row r="103" spans="1:5">
      <c r="E103" s="293"/>
    </row>
    <row r="104" spans="1:5">
      <c r="A104" s="269"/>
      <c r="C104" s="155"/>
      <c r="E104" s="8"/>
    </row>
    <row r="105" spans="1:5">
      <c r="E105" s="293"/>
    </row>
    <row r="106" spans="1:5">
      <c r="A106" s="269"/>
      <c r="C106" s="155"/>
      <c r="E106" s="8"/>
    </row>
    <row r="107" spans="1:5">
      <c r="E107" s="293"/>
    </row>
    <row r="108" spans="1:5">
      <c r="A108" s="269"/>
      <c r="C108" s="155"/>
      <c r="E108" s="8"/>
    </row>
    <row r="109" spans="1:5">
      <c r="E109" s="293"/>
    </row>
    <row r="110" spans="1:5">
      <c r="A110" s="269"/>
      <c r="C110" s="155"/>
      <c r="E110" s="8"/>
    </row>
    <row r="111" spans="1:5">
      <c r="E111" s="277"/>
    </row>
    <row r="112" spans="1:5">
      <c r="A112" s="269"/>
      <c r="C112" s="155"/>
      <c r="E112" s="79"/>
    </row>
    <row r="113" spans="1:5">
      <c r="E113" s="277"/>
    </row>
    <row r="114" spans="1:5">
      <c r="A114" s="269"/>
      <c r="C114" s="155"/>
      <c r="E114" s="79"/>
    </row>
    <row r="115" spans="1:5">
      <c r="E115" s="277"/>
    </row>
    <row r="116" spans="1:5">
      <c r="A116" s="269"/>
      <c r="C116" s="155"/>
      <c r="E116" s="79"/>
    </row>
    <row r="117" spans="1:5">
      <c r="E117" s="277"/>
    </row>
    <row r="118" spans="1:5">
      <c r="A118" s="269"/>
      <c r="C118" s="155"/>
      <c r="E118" s="79"/>
    </row>
    <row r="119" spans="1:5">
      <c r="E119" s="277"/>
    </row>
    <row r="120" spans="1:5">
      <c r="A120" s="269"/>
      <c r="C120" s="155"/>
      <c r="E120" s="79"/>
    </row>
    <row r="121" spans="1:5">
      <c r="E121" s="277"/>
    </row>
    <row r="122" spans="1:5">
      <c r="A122" s="269"/>
      <c r="C122" s="155"/>
      <c r="E122" s="79"/>
    </row>
    <row r="123" spans="1:5">
      <c r="E123" s="277"/>
    </row>
    <row r="124" spans="1:5">
      <c r="A124" s="269"/>
      <c r="C124" s="155"/>
    </row>
    <row r="125" spans="1:5">
      <c r="E125" s="155"/>
    </row>
    <row r="126" spans="1:5">
      <c r="A126" s="269"/>
      <c r="C126" s="155"/>
    </row>
    <row r="127" spans="1:5">
      <c r="E127" s="155"/>
    </row>
    <row r="128" spans="1:5">
      <c r="A128" s="269"/>
      <c r="C128" s="155"/>
    </row>
    <row r="129" spans="1:5">
      <c r="E129" s="155"/>
    </row>
    <row r="130" spans="1:5">
      <c r="A130" s="269"/>
      <c r="C130" s="155"/>
    </row>
    <row r="131" spans="1:5">
      <c r="E131" s="155"/>
    </row>
    <row r="132" spans="1:5">
      <c r="A132" s="269"/>
      <c r="C132" s="155"/>
    </row>
    <row r="133" spans="1:5">
      <c r="E133" s="155"/>
    </row>
    <row r="134" spans="1:5">
      <c r="A134" s="269"/>
      <c r="C134" s="155"/>
    </row>
    <row r="135" spans="1:5">
      <c r="E135" s="155"/>
    </row>
    <row r="136" spans="1:5">
      <c r="A136" s="269"/>
      <c r="C136" s="155"/>
    </row>
    <row r="137" spans="1:5">
      <c r="E137" s="155"/>
    </row>
    <row r="138" spans="1:5">
      <c r="A138" s="269"/>
      <c r="C138" s="155"/>
    </row>
    <row r="139" spans="1:5">
      <c r="E139" s="155"/>
    </row>
    <row r="140" spans="1:5">
      <c r="A140" s="269"/>
      <c r="C140" s="155"/>
    </row>
    <row r="141" spans="1:5">
      <c r="E141" s="155"/>
    </row>
    <row r="142" spans="1:5">
      <c r="A142" s="269"/>
      <c r="C142" s="155"/>
    </row>
    <row r="143" spans="1:5">
      <c r="E143" s="155"/>
    </row>
    <row r="144" spans="1:5">
      <c r="A144" s="269"/>
      <c r="C144" s="155"/>
    </row>
    <row r="145" spans="1:5">
      <c r="E145" s="155"/>
    </row>
    <row r="146" spans="1:5">
      <c r="A146" s="269"/>
      <c r="C146" s="155"/>
    </row>
    <row r="147" spans="1:5">
      <c r="E147" s="155"/>
    </row>
    <row r="148" spans="1:5">
      <c r="A148" s="269"/>
      <c r="C148" s="155"/>
    </row>
    <row r="149" spans="1:5">
      <c r="E149" s="155"/>
    </row>
    <row r="150" spans="1:5">
      <c r="A150" s="269"/>
      <c r="C150" s="155"/>
    </row>
    <row r="151" spans="1:5">
      <c r="E151" s="155"/>
    </row>
    <row r="152" spans="1:5">
      <c r="A152" s="269"/>
      <c r="C152" s="155"/>
    </row>
    <row r="153" spans="1:5">
      <c r="E153" s="155"/>
    </row>
    <row r="154" spans="1:5">
      <c r="A154" s="269"/>
      <c r="C154" s="155"/>
    </row>
    <row r="155" spans="1:5">
      <c r="E155" s="155"/>
    </row>
    <row r="156" spans="1:5">
      <c r="A156" s="269"/>
      <c r="C156" s="155"/>
    </row>
    <row r="157" spans="1:5">
      <c r="E157" s="155"/>
    </row>
    <row r="158" spans="1:5">
      <c r="A158" s="269"/>
      <c r="C158" s="155"/>
    </row>
    <row r="159" spans="1:5">
      <c r="E159" s="155"/>
    </row>
    <row r="160" spans="1:5">
      <c r="A160" s="269"/>
      <c r="C160" s="155"/>
    </row>
    <row r="161" spans="1:5">
      <c r="E161" s="155"/>
    </row>
    <row r="162" spans="1:5">
      <c r="A162" s="269"/>
      <c r="C162" s="155"/>
    </row>
    <row r="163" spans="1:5">
      <c r="E163" s="155"/>
    </row>
    <row r="164" spans="1:5">
      <c r="A164" s="269"/>
      <c r="C164" s="155"/>
    </row>
    <row r="165" spans="1:5">
      <c r="E165" s="155"/>
    </row>
    <row r="166" spans="1:5">
      <c r="A166" s="269"/>
      <c r="C166" s="155"/>
    </row>
    <row r="167" spans="1:5">
      <c r="E167" s="155"/>
    </row>
    <row r="168" spans="1:5">
      <c r="A168" s="269"/>
      <c r="C168" s="155"/>
    </row>
    <row r="169" spans="1:5">
      <c r="E169" s="155"/>
    </row>
    <row r="170" spans="1:5">
      <c r="A170" s="269"/>
      <c r="C170" s="155"/>
    </row>
    <row r="171" spans="1:5">
      <c r="E171" s="155"/>
    </row>
    <row r="172" spans="1:5">
      <c r="A172" s="269"/>
      <c r="C172" s="155"/>
    </row>
    <row r="173" spans="1:5">
      <c r="E173" s="155"/>
    </row>
    <row r="174" spans="1:5">
      <c r="A174" s="269"/>
      <c r="C174" s="155"/>
    </row>
    <row r="175" spans="1:5">
      <c r="E175" s="155"/>
    </row>
    <row r="176" spans="1:5">
      <c r="A176" s="269"/>
      <c r="C176" s="155"/>
    </row>
    <row r="177" spans="1:5">
      <c r="E177" s="155"/>
    </row>
    <row r="178" spans="1:5">
      <c r="A178" s="269"/>
      <c r="C178" s="155"/>
    </row>
    <row r="179" spans="1:5">
      <c r="E179" s="155"/>
    </row>
    <row r="180" spans="1:5">
      <c r="A180" s="269"/>
      <c r="C180" s="155"/>
    </row>
    <row r="181" spans="1:5">
      <c r="E181" s="155"/>
    </row>
    <row r="182" spans="1:5">
      <c r="A182" s="269"/>
      <c r="C182" s="155"/>
    </row>
    <row r="183" spans="1:5">
      <c r="E183" s="155"/>
    </row>
    <row r="184" spans="1:5">
      <c r="A184" s="269"/>
      <c r="C184" s="155"/>
    </row>
    <row r="185" spans="1:5">
      <c r="E185" s="155"/>
    </row>
    <row r="186" spans="1:5">
      <c r="A186" s="269"/>
      <c r="C186" s="155"/>
    </row>
    <row r="187" spans="1:5">
      <c r="E187" s="155"/>
    </row>
    <row r="188" spans="1:5">
      <c r="A188" s="269"/>
      <c r="C188" s="155"/>
    </row>
    <row r="189" spans="1:5">
      <c r="E189" s="155"/>
    </row>
    <row r="190" spans="1:5">
      <c r="A190" s="269"/>
      <c r="C190" s="155"/>
    </row>
    <row r="191" spans="1:5">
      <c r="E191" s="155"/>
    </row>
    <row r="192" spans="1:5">
      <c r="A192" s="269"/>
      <c r="C192" s="155"/>
    </row>
    <row r="193" spans="1:5">
      <c r="E193" s="155"/>
    </row>
    <row r="194" spans="1:5">
      <c r="A194" s="269"/>
      <c r="C194" s="155"/>
    </row>
    <row r="195" spans="1:5">
      <c r="E195" s="155"/>
    </row>
    <row r="196" spans="1:5">
      <c r="A196" s="269"/>
      <c r="C196" s="155"/>
    </row>
    <row r="197" spans="1:5">
      <c r="E197" s="155"/>
    </row>
    <row r="198" spans="1:5">
      <c r="A198" s="269"/>
      <c r="C198" s="155"/>
    </row>
    <row r="199" spans="1:5">
      <c r="E199" s="155"/>
    </row>
    <row r="200" spans="1:5">
      <c r="A200" s="269"/>
      <c r="D200" s="155"/>
    </row>
    <row r="201" spans="1:5">
      <c r="E201" s="155"/>
    </row>
    <row r="202" spans="1:5">
      <c r="A202" s="269"/>
      <c r="C202" s="155"/>
    </row>
    <row r="203" spans="1:5">
      <c r="E203" s="155"/>
    </row>
    <row r="204" spans="1:5">
      <c r="A204" s="269"/>
      <c r="C204" s="155"/>
    </row>
    <row r="205" spans="1:5">
      <c r="E205" s="155"/>
    </row>
    <row r="206" spans="1:5">
      <c r="A206" s="269"/>
      <c r="C206" s="155"/>
    </row>
    <row r="207" spans="1:5">
      <c r="E207" s="155"/>
    </row>
    <row r="208" spans="1:5">
      <c r="A208" s="269"/>
      <c r="C208" s="155"/>
    </row>
    <row r="209" spans="1:5">
      <c r="E209" s="155"/>
    </row>
    <row r="210" spans="1:5">
      <c r="A210" s="269"/>
      <c r="C210" s="155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43A4E-469E-4FAE-B13C-52E06FD46E14}">
  <dimension ref="A6:R210"/>
  <sheetViews>
    <sheetView showGridLines="0" workbookViewId="0">
      <selection activeCell="F14" sqref="F14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7.5">
      <c r="A12" s="11"/>
      <c r="B12" s="334" t="s">
        <v>3</v>
      </c>
      <c r="C12" s="335"/>
      <c r="D12" s="336"/>
      <c r="E12" s="17">
        <f>SUM(E13:E15)</f>
        <v>211253.46000000002</v>
      </c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337" t="s">
        <v>5</v>
      </c>
      <c r="C13" s="338"/>
      <c r="D13" s="339"/>
      <c r="E13" s="20">
        <f>J16+J17+J18+J19</f>
        <v>154548.23000000001</v>
      </c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49" t="s">
        <v>7</v>
      </c>
      <c r="C14" s="350"/>
      <c r="D14" s="351"/>
      <c r="E14" s="20">
        <f>G22+G23</f>
        <v>15337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52" t="s">
        <v>6</v>
      </c>
      <c r="C15" s="353"/>
      <c r="D15" s="354"/>
      <c r="E15" s="28">
        <f>G16+G17+G18</f>
        <v>41368.229999999996</v>
      </c>
      <c r="F15" s="153">
        <f>E13+E14+E15</f>
        <v>211253.46000000002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236" t="s">
        <v>187</v>
      </c>
      <c r="C16" s="237"/>
      <c r="D16" s="238"/>
      <c r="E16" s="28">
        <f>+J22</f>
        <v>11107</v>
      </c>
      <c r="F16" s="153">
        <v>90000</v>
      </c>
      <c r="G16" s="22">
        <v>10197.469999999999</v>
      </c>
      <c r="H16" s="23" t="s">
        <v>8</v>
      </c>
      <c r="I16" s="24"/>
      <c r="J16" s="25">
        <v>42654.93</v>
      </c>
      <c r="K16" s="26" t="s">
        <v>9</v>
      </c>
      <c r="L16" s="13"/>
      <c r="N16" s="3"/>
    </row>
    <row r="17" spans="2:18">
      <c r="B17" s="379" t="s">
        <v>11</v>
      </c>
      <c r="C17" s="380"/>
      <c r="D17" s="381"/>
      <c r="E17" s="20">
        <f>G29+G31+G30+G28</f>
        <v>14102.130000000001</v>
      </c>
      <c r="F17" s="153">
        <f>+F15-F16</f>
        <v>121253.46000000002</v>
      </c>
      <c r="G17" s="22">
        <v>17096.62</v>
      </c>
      <c r="H17" s="29" t="s">
        <v>10</v>
      </c>
      <c r="I17" s="30"/>
      <c r="J17" s="25">
        <v>26001.66</v>
      </c>
      <c r="K17" s="31" t="s">
        <v>10</v>
      </c>
      <c r="N17" s="3"/>
    </row>
    <row r="18" spans="2:18">
      <c r="B18" s="344" t="s">
        <v>13</v>
      </c>
      <c r="C18" s="345"/>
      <c r="D18" s="346"/>
      <c r="E18" s="20">
        <v>19011662.300000001</v>
      </c>
      <c r="F18" s="153"/>
      <c r="G18" s="22">
        <v>14074.14</v>
      </c>
      <c r="H18" s="29" t="s">
        <v>12</v>
      </c>
      <c r="I18" s="30"/>
      <c r="J18" s="25">
        <v>67710.8</v>
      </c>
      <c r="K18" s="31" t="s">
        <v>12</v>
      </c>
      <c r="L18" s="152"/>
      <c r="N18" s="3"/>
    </row>
    <row r="19" spans="2:18">
      <c r="B19" s="187" t="s">
        <v>15</v>
      </c>
      <c r="C19" s="188"/>
      <c r="D19" s="189"/>
      <c r="E19" s="190">
        <f>SUM(E20:E22)</f>
        <v>59921.7</v>
      </c>
      <c r="F19" s="153"/>
      <c r="G19" s="33"/>
      <c r="H19" s="34"/>
      <c r="I19" s="30"/>
      <c r="J19" s="25">
        <v>18180.84</v>
      </c>
      <c r="K19" s="31" t="s">
        <v>14</v>
      </c>
      <c r="N19" s="268"/>
    </row>
    <row r="20" spans="2:18">
      <c r="B20" s="187"/>
      <c r="C20" s="188"/>
      <c r="D20" s="198" t="s">
        <v>161</v>
      </c>
      <c r="E20" s="190">
        <v>59921.7</v>
      </c>
      <c r="F20" s="153"/>
      <c r="G20" s="239"/>
      <c r="H20" s="240"/>
      <c r="I20" s="30"/>
      <c r="J20" s="25"/>
      <c r="K20" s="31"/>
    </row>
    <row r="21" spans="2:18">
      <c r="B21" s="187"/>
      <c r="C21" s="188"/>
      <c r="D21" s="198"/>
      <c r="E21" s="190"/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206"/>
      <c r="C22" s="205"/>
      <c r="D22" s="198"/>
      <c r="E22" s="190"/>
      <c r="F22" s="153"/>
      <c r="G22" s="44">
        <v>57.04</v>
      </c>
      <c r="H22" s="29" t="s">
        <v>10</v>
      </c>
      <c r="I22" s="30"/>
      <c r="J22" s="25">
        <v>11107</v>
      </c>
      <c r="K22" s="31" t="s">
        <v>188</v>
      </c>
      <c r="O22" s="235"/>
    </row>
    <row r="23" spans="2:18">
      <c r="B23" s="46" t="s">
        <v>17</v>
      </c>
      <c r="C23" s="47"/>
      <c r="D23" s="48"/>
      <c r="E23" s="234">
        <v>0</v>
      </c>
      <c r="F23" s="153"/>
      <c r="G23" s="44">
        <v>15279.96</v>
      </c>
      <c r="H23" s="29" t="s">
        <v>18</v>
      </c>
      <c r="I23" s="30"/>
      <c r="J23" s="25"/>
      <c r="K23" s="31"/>
    </row>
    <row r="24" spans="2:18" ht="15" thickBot="1">
      <c r="B24" s="202" t="s">
        <v>58</v>
      </c>
      <c r="C24" s="203"/>
      <c r="D24" s="204"/>
      <c r="E24" s="234">
        <v>100000</v>
      </c>
      <c r="F24" s="220"/>
      <c r="G24" s="51"/>
      <c r="H24" s="34"/>
      <c r="I24" s="30"/>
      <c r="J24" s="210"/>
      <c r="K24" s="53"/>
      <c r="N24" s="290"/>
    </row>
    <row r="25" spans="2:18" ht="15" thickBot="1">
      <c r="B25" s="199" t="s">
        <v>22</v>
      </c>
      <c r="C25" s="200"/>
      <c r="D25" s="201"/>
      <c r="E25" s="234">
        <v>5894.8</v>
      </c>
      <c r="F25" s="153">
        <f>+F17-E23</f>
        <v>121253.46000000002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199" t="s">
        <v>24</v>
      </c>
      <c r="C26" s="200"/>
      <c r="D26" s="201"/>
      <c r="E26" s="234">
        <v>46048.53</v>
      </c>
      <c r="F26" s="288">
        <f>SUM(E23:E29)</f>
        <v>151943.33000000002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80</v>
      </c>
      <c r="C27" s="200"/>
      <c r="D27" s="201"/>
      <c r="E27" s="49">
        <v>0</v>
      </c>
      <c r="F27" s="153">
        <f>+F25-F26</f>
        <v>-30689.869999999995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344" t="s">
        <v>69</v>
      </c>
      <c r="C28" s="345"/>
      <c r="D28" s="346"/>
      <c r="E28" s="49">
        <v>0</v>
      </c>
      <c r="F28" s="221"/>
      <c r="G28" s="22">
        <v>4146.09</v>
      </c>
      <c r="H28" s="62" t="s">
        <v>9</v>
      </c>
      <c r="I28" s="59"/>
      <c r="J28" s="60"/>
      <c r="K28" s="45"/>
      <c r="N28" s="269"/>
      <c r="P28" s="155"/>
      <c r="R28" s="155"/>
    </row>
    <row r="29" spans="2:18" ht="15" thickBot="1">
      <c r="B29" s="363" t="s">
        <v>29</v>
      </c>
      <c r="C29" s="364"/>
      <c r="D29" s="365"/>
      <c r="E29" s="66">
        <v>0</v>
      </c>
      <c r="F29" s="220"/>
      <c r="G29" s="22">
        <v>973.5</v>
      </c>
      <c r="H29" s="62" t="s">
        <v>26</v>
      </c>
      <c r="I29" s="63"/>
      <c r="J29" s="64" t="s">
        <v>27</v>
      </c>
      <c r="K29" s="65" t="s">
        <v>28</v>
      </c>
    </row>
    <row r="30" spans="2:18">
      <c r="E30" s="79"/>
      <c r="F30" s="220"/>
      <c r="G30" s="67">
        <v>1766.32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E31" s="79"/>
      <c r="F31" s="220"/>
      <c r="G31" s="71">
        <v>7216.22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79"/>
      <c r="F32" s="220"/>
      <c r="N32" s="269"/>
      <c r="P32" s="155"/>
      <c r="R32" s="155"/>
    </row>
    <row r="33" spans="2:18">
      <c r="E33" s="79"/>
      <c r="F33" s="220"/>
    </row>
    <row r="34" spans="2:18">
      <c r="B34" s="61"/>
      <c r="C34" s="61"/>
      <c r="D34" s="61"/>
      <c r="E34" s="181" t="s">
        <v>354</v>
      </c>
      <c r="F34" s="220"/>
      <c r="H34" s="61"/>
      <c r="I34" s="61"/>
      <c r="J34" s="13"/>
      <c r="K34" s="61"/>
      <c r="L34" s="61"/>
      <c r="M34" s="61"/>
      <c r="N34" s="269"/>
      <c r="P34" s="155"/>
      <c r="R34" s="155"/>
    </row>
    <row r="35" spans="2:18">
      <c r="B35" s="61"/>
      <c r="C35" s="61"/>
      <c r="D35" s="61"/>
      <c r="E35" s="181"/>
      <c r="F35" s="220"/>
      <c r="H35" s="61"/>
      <c r="I35" s="61"/>
      <c r="J35" s="13"/>
      <c r="K35" s="61"/>
      <c r="L35" s="61"/>
      <c r="M35" s="61"/>
    </row>
    <row r="36" spans="2:18" s="61" customFormat="1" ht="15" customHeight="1">
      <c r="E36" s="8" t="s">
        <v>34</v>
      </c>
      <c r="F36" s="222"/>
      <c r="G36" s="8"/>
      <c r="H36" s="13"/>
      <c r="J36" s="13"/>
      <c r="K36" s="83"/>
      <c r="L36" s="88"/>
      <c r="N36" s="272"/>
      <c r="P36" s="273"/>
      <c r="R36" s="273"/>
    </row>
    <row r="37" spans="2:18" s="61" customFormat="1" ht="15" customHeight="1">
      <c r="E37" s="8" t="s">
        <v>35</v>
      </c>
      <c r="F37" s="222"/>
      <c r="G37" s="181"/>
      <c r="H37" s="161"/>
      <c r="I37" s="197"/>
      <c r="J37" s="13"/>
      <c r="K37" s="83"/>
      <c r="L37" s="161"/>
      <c r="M37" s="197"/>
    </row>
    <row r="38" spans="2:18" s="61" customFormat="1" ht="15" customHeight="1">
      <c r="E38" s="8" t="s">
        <v>36</v>
      </c>
      <c r="F38" s="222">
        <f>F17</f>
        <v>121253.46000000002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2:18" s="61" customFormat="1" ht="15" customHeight="1">
      <c r="E39" s="8" t="s">
        <v>37</v>
      </c>
      <c r="F39" s="222">
        <f>+E17</f>
        <v>14102.130000000001</v>
      </c>
      <c r="G39" s="86"/>
      <c r="I39" s="197"/>
      <c r="J39" s="13"/>
      <c r="K39" s="85"/>
      <c r="M39" s="197"/>
    </row>
    <row r="40" spans="2:18" s="61" customFormat="1" ht="15" customHeight="1">
      <c r="E40" s="182" t="s">
        <v>38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2:18" s="61" customFormat="1" ht="15" customHeight="1">
      <c r="E41" s="183"/>
      <c r="F41" s="222">
        <v>0</v>
      </c>
      <c r="G41" s="9"/>
      <c r="I41" s="197"/>
      <c r="J41" s="13"/>
      <c r="M41" s="197"/>
    </row>
    <row r="42" spans="2:18" s="61" customFormat="1" ht="15" customHeight="1">
      <c r="E42" s="183" t="s">
        <v>152</v>
      </c>
      <c r="F42" s="223">
        <f>SUM(F38:F41)</f>
        <v>135355.59000000003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183" t="s">
        <v>355</v>
      </c>
      <c r="F43" s="224"/>
      <c r="G43" s="9"/>
      <c r="H43" s="163"/>
      <c r="I43" s="229"/>
      <c r="J43" s="13"/>
      <c r="L43" s="163"/>
      <c r="M43" s="229"/>
    </row>
    <row r="44" spans="2:18" s="61" customFormat="1" ht="15" customHeight="1">
      <c r="E44" s="183" t="s">
        <v>356</v>
      </c>
      <c r="F44" s="224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2:18" s="61" customFormat="1" ht="15" customHeight="1">
      <c r="E45" s="183" t="s">
        <v>64</v>
      </c>
      <c r="F45" s="224">
        <v>1300000</v>
      </c>
      <c r="G45" s="9"/>
      <c r="H45" s="165"/>
      <c r="I45" s="230"/>
      <c r="J45" s="13"/>
    </row>
    <row r="46" spans="2:18" s="61" customFormat="1" ht="15" customHeight="1">
      <c r="E46" s="183" t="s">
        <v>69</v>
      </c>
      <c r="F46" s="224">
        <v>120000</v>
      </c>
      <c r="G46" s="9"/>
      <c r="H46" s="165"/>
      <c r="I46" s="230"/>
      <c r="J46" s="13"/>
    </row>
    <row r="47" spans="2:18" s="61" customFormat="1" ht="15" customHeight="1">
      <c r="E47" s="116" t="s">
        <v>24</v>
      </c>
      <c r="F47" s="224">
        <v>0</v>
      </c>
      <c r="G47" s="9"/>
      <c r="H47" s="165"/>
      <c r="I47" s="230"/>
      <c r="J47" s="13"/>
    </row>
    <row r="48" spans="2:18" s="61" customFormat="1" ht="15" customHeight="1">
      <c r="E48" s="116" t="s">
        <v>22</v>
      </c>
      <c r="F48" s="224">
        <v>60000</v>
      </c>
      <c r="G48" s="9"/>
      <c r="H48" s="165"/>
      <c r="I48" s="230"/>
      <c r="J48" s="13"/>
    </row>
    <row r="49" spans="2:13" s="61" customFormat="1" ht="15" customHeight="1">
      <c r="E49" s="116" t="s">
        <v>40</v>
      </c>
      <c r="F49" s="220">
        <v>0</v>
      </c>
      <c r="G49" s="9"/>
      <c r="H49" s="165"/>
      <c r="I49" s="230"/>
      <c r="J49" s="13"/>
    </row>
    <row r="50" spans="2:13" s="61" customFormat="1">
      <c r="E50" s="118" t="s">
        <v>41</v>
      </c>
      <c r="F50" s="220">
        <v>50000</v>
      </c>
      <c r="G50" s="8"/>
      <c r="H50" s="91"/>
      <c r="I50" s="231"/>
      <c r="J50" s="13"/>
    </row>
    <row r="51" spans="2:13" s="61" customFormat="1">
      <c r="E51" s="118" t="s">
        <v>42</v>
      </c>
      <c r="F51" s="226">
        <f>200000-90000-60000</f>
        <v>50000</v>
      </c>
      <c r="G51" s="8"/>
      <c r="H51" s="96"/>
      <c r="I51" s="231"/>
      <c r="J51" s="262"/>
    </row>
    <row r="52" spans="2:13" s="61" customFormat="1">
      <c r="E52" s="8"/>
      <c r="F52" s="225">
        <f>SUM(F44:F51)</f>
        <v>1705000</v>
      </c>
      <c r="G52" s="82"/>
      <c r="H52" s="83"/>
      <c r="I52" s="228"/>
      <c r="J52" s="13"/>
    </row>
    <row r="53" spans="2:13" s="61" customFormat="1">
      <c r="E53" s="82" t="s">
        <v>43</v>
      </c>
      <c r="F53" s="225">
        <f>F42-F52</f>
        <v>-1569644.41</v>
      </c>
      <c r="G53" s="82"/>
      <c r="H53" s="83"/>
      <c r="I53" s="233"/>
      <c r="J53" s="13"/>
      <c r="L53" s="91"/>
      <c r="M53" s="232"/>
    </row>
    <row r="54" spans="2:13" s="61" customFormat="1">
      <c r="E54" s="82" t="s">
        <v>44</v>
      </c>
      <c r="F54" s="154"/>
      <c r="G54" s="82"/>
      <c r="H54" s="83"/>
      <c r="I54" s="233"/>
      <c r="J54" s="13"/>
      <c r="L54" s="91"/>
      <c r="M54" s="232"/>
    </row>
    <row r="55" spans="2:13" s="61" customFormat="1">
      <c r="E55" s="82" t="s">
        <v>45</v>
      </c>
      <c r="F55" s="80">
        <f>43800+180000</f>
        <v>223800</v>
      </c>
      <c r="G55" s="82"/>
      <c r="H55" s="83"/>
      <c r="I55" s="233"/>
      <c r="J55" s="13"/>
      <c r="L55" s="96"/>
      <c r="M55" s="231"/>
    </row>
    <row r="56" spans="2:13" s="61" customFormat="1">
      <c r="E56" s="82" t="s">
        <v>205</v>
      </c>
      <c r="F56" s="80">
        <v>365000</v>
      </c>
      <c r="G56" s="82"/>
      <c r="H56" s="96"/>
      <c r="I56" s="228"/>
      <c r="J56" s="13"/>
      <c r="L56" s="96"/>
      <c r="M56" s="233"/>
    </row>
    <row r="57" spans="2:13" s="61" customFormat="1">
      <c r="B57"/>
      <c r="C57"/>
      <c r="D57"/>
      <c r="E57" s="82" t="s">
        <v>206</v>
      </c>
      <c r="F57" s="117">
        <v>0</v>
      </c>
      <c r="G57" s="82"/>
      <c r="H57" s="83"/>
      <c r="I57" s="233"/>
      <c r="J57" s="13"/>
    </row>
    <row r="58" spans="2:13" s="61" customFormat="1">
      <c r="B58"/>
      <c r="C58"/>
      <c r="D58"/>
      <c r="E58" s="118" t="s">
        <v>46</v>
      </c>
      <c r="F58" s="117">
        <v>0</v>
      </c>
      <c r="G58"/>
      <c r="H58" s="96"/>
      <c r="I58" s="219"/>
      <c r="J58" s="13"/>
      <c r="L58" s="83"/>
      <c r="M58" s="228"/>
    </row>
    <row r="59" spans="2:13">
      <c r="E59" s="82"/>
      <c r="F59" s="117">
        <v>0</v>
      </c>
      <c r="H59" s="61"/>
      <c r="I59" s="61"/>
      <c r="J59" s="13"/>
      <c r="K59" s="61"/>
      <c r="L59" s="61"/>
      <c r="M59" s="61"/>
    </row>
    <row r="60" spans="2:13">
      <c r="E60" s="118" t="s">
        <v>47</v>
      </c>
      <c r="F60" s="120">
        <f>SUM(F55:F59)</f>
        <v>588800</v>
      </c>
      <c r="H60" s="61"/>
      <c r="I60" s="61"/>
      <c r="J60" s="13"/>
      <c r="K60" s="61"/>
      <c r="L60" s="61"/>
      <c r="M60" s="61"/>
    </row>
    <row r="61" spans="2:13">
      <c r="D61" s="247" t="s">
        <v>192</v>
      </c>
      <c r="E61" s="8"/>
      <c r="F61" s="80"/>
    </row>
    <row r="62" spans="2:13">
      <c r="D62" s="247" t="s">
        <v>194</v>
      </c>
      <c r="E62" s="8"/>
      <c r="F62" s="120">
        <f>F53-F60</f>
        <v>-2158444.41</v>
      </c>
      <c r="G62" s="8"/>
    </row>
    <row r="63" spans="2:13">
      <c r="D63" s="8" t="s">
        <v>9</v>
      </c>
      <c r="E63" s="8"/>
      <c r="F63" s="220"/>
      <c r="G63" s="8"/>
    </row>
    <row r="64" spans="2:13">
      <c r="D64" s="8" t="s">
        <v>195</v>
      </c>
      <c r="E64" s="8"/>
      <c r="G64" s="8"/>
    </row>
    <row r="65" spans="1:7">
      <c r="D65" s="8" t="s">
        <v>188</v>
      </c>
      <c r="E65" s="247"/>
      <c r="G65" s="8"/>
    </row>
    <row r="66" spans="1:7">
      <c r="D66" s="8"/>
      <c r="E66" s="247"/>
      <c r="G66" s="124">
        <f>SUM(E72:F72)</f>
        <v>0</v>
      </c>
    </row>
    <row r="67" spans="1:7">
      <c r="E67" s="249"/>
      <c r="F67" s="275"/>
      <c r="G67" s="8"/>
    </row>
    <row r="68" spans="1:7">
      <c r="E68" s="249"/>
      <c r="F68" s="286"/>
    </row>
    <row r="69" spans="1:7">
      <c r="E69" s="249"/>
      <c r="F69" s="246"/>
    </row>
    <row r="70" spans="1:7">
      <c r="E70" s="124"/>
      <c r="F70" s="287"/>
    </row>
    <row r="71" spans="1:7">
      <c r="E71" s="8"/>
      <c r="F71" s="287"/>
    </row>
    <row r="72" spans="1:7">
      <c r="E72" s="8"/>
      <c r="F72" s="287"/>
    </row>
    <row r="73" spans="1:7">
      <c r="E73" s="8"/>
    </row>
    <row r="74" spans="1:7">
      <c r="A74" s="268"/>
      <c r="E74" s="8"/>
    </row>
    <row r="75" spans="1:7">
      <c r="B75" s="235"/>
      <c r="E75" s="8"/>
    </row>
    <row r="76" spans="1:7">
      <c r="E76" s="8"/>
    </row>
    <row r="77" spans="1:7">
      <c r="E77" s="293"/>
    </row>
    <row r="78" spans="1:7">
      <c r="C78" s="155"/>
      <c r="E78" s="8"/>
    </row>
    <row r="79" spans="1:7">
      <c r="E79" s="293"/>
    </row>
    <row r="80" spans="1:7">
      <c r="A80" s="269"/>
      <c r="C80" s="155"/>
      <c r="E80" s="8"/>
    </row>
    <row r="81" spans="1:5">
      <c r="E81" s="293"/>
    </row>
    <row r="82" spans="1:5">
      <c r="A82" s="269"/>
      <c r="C82" s="155"/>
      <c r="E82" s="8"/>
    </row>
    <row r="83" spans="1:5">
      <c r="E83" s="293"/>
    </row>
    <row r="84" spans="1:5">
      <c r="A84" s="269"/>
      <c r="C84" s="155"/>
      <c r="E84" s="8"/>
    </row>
    <row r="85" spans="1:5">
      <c r="E85" s="293"/>
    </row>
    <row r="86" spans="1:5">
      <c r="A86" s="269"/>
      <c r="C86" s="155"/>
      <c r="E86" s="8"/>
    </row>
    <row r="87" spans="1:5">
      <c r="E87" s="293"/>
    </row>
    <row r="88" spans="1:5">
      <c r="A88" s="269"/>
      <c r="C88" s="155"/>
      <c r="E88" s="8"/>
    </row>
    <row r="89" spans="1:5">
      <c r="E89" s="293"/>
    </row>
    <row r="90" spans="1:5">
      <c r="A90" s="269"/>
      <c r="C90" s="155"/>
      <c r="E90" s="8"/>
    </row>
    <row r="91" spans="1:5">
      <c r="E91" s="293"/>
    </row>
    <row r="92" spans="1:5">
      <c r="A92" s="269"/>
      <c r="C92" s="155"/>
      <c r="E92" s="8"/>
    </row>
    <row r="93" spans="1:5">
      <c r="E93" s="293"/>
    </row>
    <row r="94" spans="1:5">
      <c r="A94" s="269"/>
      <c r="C94" s="155"/>
      <c r="E94" s="8"/>
    </row>
    <row r="95" spans="1:5">
      <c r="E95" s="293"/>
    </row>
    <row r="96" spans="1:5">
      <c r="A96" s="269"/>
      <c r="C96" s="155"/>
      <c r="E96" s="8"/>
    </row>
    <row r="97" spans="1:5">
      <c r="E97" s="293"/>
    </row>
    <row r="98" spans="1:5">
      <c r="A98" s="269"/>
      <c r="C98" s="155"/>
      <c r="E98" s="8"/>
    </row>
    <row r="99" spans="1:5">
      <c r="E99" s="293"/>
    </row>
    <row r="100" spans="1:5">
      <c r="A100" s="269"/>
      <c r="C100" s="155"/>
      <c r="E100" s="8"/>
    </row>
    <row r="101" spans="1:5">
      <c r="E101" s="293"/>
    </row>
    <row r="102" spans="1:5">
      <c r="A102" s="269"/>
      <c r="C102" s="155"/>
      <c r="E102" s="8"/>
    </row>
    <row r="103" spans="1:5">
      <c r="E103" s="293"/>
    </row>
    <row r="104" spans="1:5">
      <c r="A104" s="269"/>
      <c r="C104" s="155"/>
      <c r="E104" s="8"/>
    </row>
    <row r="105" spans="1:5">
      <c r="E105" s="293"/>
    </row>
    <row r="106" spans="1:5">
      <c r="A106" s="269"/>
      <c r="C106" s="155"/>
      <c r="E106" s="8"/>
    </row>
    <row r="107" spans="1:5">
      <c r="E107" s="293"/>
    </row>
    <row r="108" spans="1:5">
      <c r="A108" s="269"/>
      <c r="C108" s="155"/>
      <c r="E108" s="8"/>
    </row>
    <row r="109" spans="1:5">
      <c r="E109" s="277"/>
    </row>
    <row r="110" spans="1:5">
      <c r="A110" s="269"/>
      <c r="C110" s="155"/>
      <c r="E110" s="79"/>
    </row>
    <row r="111" spans="1:5">
      <c r="E111" s="277"/>
    </row>
    <row r="112" spans="1:5">
      <c r="A112" s="269"/>
      <c r="C112" s="155"/>
      <c r="E112" s="79"/>
    </row>
    <row r="113" spans="1:5">
      <c r="E113" s="277"/>
    </row>
    <row r="114" spans="1:5">
      <c r="A114" s="269"/>
      <c r="C114" s="155"/>
      <c r="E114" s="79"/>
    </row>
    <row r="115" spans="1:5">
      <c r="E115" s="277"/>
    </row>
    <row r="116" spans="1:5">
      <c r="A116" s="269"/>
      <c r="C116" s="155"/>
      <c r="E116" s="79"/>
    </row>
    <row r="117" spans="1:5">
      <c r="E117" s="277"/>
    </row>
    <row r="118" spans="1:5">
      <c r="A118" s="269"/>
      <c r="C118" s="155"/>
      <c r="E118" s="79"/>
    </row>
    <row r="119" spans="1:5">
      <c r="E119" s="277"/>
    </row>
    <row r="120" spans="1:5">
      <c r="A120" s="269"/>
      <c r="C120" s="155"/>
      <c r="E120" s="79"/>
    </row>
    <row r="121" spans="1:5">
      <c r="E121" s="277"/>
    </row>
    <row r="122" spans="1:5">
      <c r="A122" s="269"/>
      <c r="C122" s="155"/>
    </row>
    <row r="123" spans="1:5">
      <c r="E123" s="155"/>
    </row>
    <row r="124" spans="1:5">
      <c r="A124" s="269"/>
      <c r="C124" s="155"/>
    </row>
    <row r="125" spans="1:5">
      <c r="E125" s="155"/>
    </row>
    <row r="126" spans="1:5">
      <c r="A126" s="269"/>
      <c r="C126" s="155"/>
    </row>
    <row r="127" spans="1:5">
      <c r="E127" s="155"/>
    </row>
    <row r="128" spans="1:5">
      <c r="A128" s="269"/>
      <c r="C128" s="155"/>
    </row>
    <row r="129" spans="1:5">
      <c r="E129" s="155"/>
    </row>
    <row r="130" spans="1:5">
      <c r="A130" s="269"/>
      <c r="C130" s="155"/>
    </row>
    <row r="131" spans="1:5">
      <c r="E131" s="155"/>
    </row>
    <row r="132" spans="1:5">
      <c r="A132" s="269"/>
      <c r="C132" s="155"/>
    </row>
    <row r="133" spans="1:5">
      <c r="E133" s="155"/>
    </row>
    <row r="134" spans="1:5">
      <c r="A134" s="269"/>
      <c r="C134" s="155"/>
    </row>
    <row r="135" spans="1:5">
      <c r="E135" s="155"/>
    </row>
    <row r="136" spans="1:5">
      <c r="A136" s="269"/>
      <c r="C136" s="155"/>
    </row>
    <row r="137" spans="1:5">
      <c r="E137" s="155"/>
    </row>
    <row r="138" spans="1:5">
      <c r="A138" s="269"/>
      <c r="C138" s="155"/>
    </row>
    <row r="139" spans="1:5">
      <c r="E139" s="155"/>
    </row>
    <row r="140" spans="1:5">
      <c r="A140" s="269"/>
      <c r="C140" s="155"/>
    </row>
    <row r="141" spans="1:5">
      <c r="E141" s="155"/>
    </row>
    <row r="142" spans="1:5">
      <c r="A142" s="269"/>
      <c r="C142" s="155"/>
    </row>
    <row r="143" spans="1:5">
      <c r="E143" s="155"/>
    </row>
    <row r="144" spans="1:5">
      <c r="A144" s="269"/>
      <c r="C144" s="155"/>
    </row>
    <row r="145" spans="1:5">
      <c r="E145" s="155"/>
    </row>
    <row r="146" spans="1:5">
      <c r="A146" s="269"/>
      <c r="C146" s="155"/>
    </row>
    <row r="147" spans="1:5">
      <c r="E147" s="155"/>
    </row>
    <row r="148" spans="1:5">
      <c r="A148" s="269"/>
      <c r="C148" s="155"/>
    </row>
    <row r="149" spans="1:5">
      <c r="E149" s="155"/>
    </row>
    <row r="150" spans="1:5">
      <c r="A150" s="269"/>
      <c r="C150" s="155"/>
    </row>
    <row r="151" spans="1:5">
      <c r="E151" s="155"/>
    </row>
    <row r="152" spans="1:5">
      <c r="A152" s="269"/>
      <c r="C152" s="155"/>
    </row>
    <row r="153" spans="1:5">
      <c r="E153" s="155"/>
    </row>
    <row r="154" spans="1:5">
      <c r="A154" s="269"/>
      <c r="C154" s="155"/>
    </row>
    <row r="155" spans="1:5">
      <c r="E155" s="155"/>
    </row>
    <row r="156" spans="1:5">
      <c r="A156" s="269"/>
      <c r="C156" s="155"/>
    </row>
    <row r="157" spans="1:5">
      <c r="E157" s="155"/>
    </row>
    <row r="158" spans="1:5">
      <c r="A158" s="269"/>
      <c r="C158" s="155"/>
    </row>
    <row r="159" spans="1:5">
      <c r="E159" s="155"/>
    </row>
    <row r="160" spans="1:5">
      <c r="A160" s="269"/>
      <c r="C160" s="155"/>
    </row>
    <row r="161" spans="1:5">
      <c r="E161" s="155"/>
    </row>
    <row r="162" spans="1:5">
      <c r="A162" s="269"/>
      <c r="C162" s="155"/>
    </row>
    <row r="163" spans="1:5">
      <c r="E163" s="155"/>
    </row>
    <row r="164" spans="1:5">
      <c r="A164" s="269"/>
      <c r="C164" s="155"/>
    </row>
    <row r="165" spans="1:5">
      <c r="E165" s="155"/>
    </row>
    <row r="166" spans="1:5">
      <c r="A166" s="269"/>
      <c r="C166" s="155"/>
    </row>
    <row r="167" spans="1:5">
      <c r="E167" s="155"/>
    </row>
    <row r="168" spans="1:5">
      <c r="A168" s="269"/>
      <c r="C168" s="155"/>
    </row>
    <row r="169" spans="1:5">
      <c r="E169" s="155"/>
    </row>
    <row r="170" spans="1:5">
      <c r="A170" s="269"/>
      <c r="C170" s="155"/>
    </row>
    <row r="171" spans="1:5">
      <c r="E171" s="155"/>
    </row>
    <row r="172" spans="1:5">
      <c r="A172" s="269"/>
      <c r="C172" s="155"/>
    </row>
    <row r="173" spans="1:5">
      <c r="E173" s="155"/>
    </row>
    <row r="174" spans="1:5">
      <c r="A174" s="269"/>
      <c r="C174" s="155"/>
    </row>
    <row r="175" spans="1:5">
      <c r="E175" s="155"/>
    </row>
    <row r="176" spans="1:5">
      <c r="A176" s="269"/>
      <c r="C176" s="155"/>
    </row>
    <row r="177" spans="1:5">
      <c r="E177" s="155"/>
    </row>
    <row r="178" spans="1:5">
      <c r="A178" s="269"/>
      <c r="C178" s="155"/>
    </row>
    <row r="179" spans="1:5">
      <c r="E179" s="155"/>
    </row>
    <row r="180" spans="1:5">
      <c r="A180" s="269"/>
      <c r="C180" s="155"/>
    </row>
    <row r="181" spans="1:5">
      <c r="E181" s="155"/>
    </row>
    <row r="182" spans="1:5">
      <c r="A182" s="269"/>
      <c r="C182" s="155"/>
    </row>
    <row r="183" spans="1:5">
      <c r="E183" s="155"/>
    </row>
    <row r="184" spans="1:5">
      <c r="A184" s="269"/>
      <c r="C184" s="155"/>
    </row>
    <row r="185" spans="1:5">
      <c r="E185" s="155"/>
    </row>
    <row r="186" spans="1:5">
      <c r="A186" s="269"/>
      <c r="C186" s="155"/>
    </row>
    <row r="187" spans="1:5">
      <c r="E187" s="155"/>
    </row>
    <row r="188" spans="1:5">
      <c r="A188" s="269"/>
      <c r="C188" s="155"/>
    </row>
    <row r="189" spans="1:5">
      <c r="E189" s="155"/>
    </row>
    <row r="190" spans="1:5">
      <c r="A190" s="269"/>
      <c r="C190" s="155"/>
    </row>
    <row r="191" spans="1:5">
      <c r="E191" s="155"/>
    </row>
    <row r="192" spans="1:5">
      <c r="A192" s="269"/>
      <c r="C192" s="155"/>
    </row>
    <row r="193" spans="1:5">
      <c r="E193" s="155"/>
    </row>
    <row r="194" spans="1:5">
      <c r="A194" s="269"/>
      <c r="C194" s="155"/>
    </row>
    <row r="195" spans="1:5">
      <c r="E195" s="155"/>
    </row>
    <row r="196" spans="1:5">
      <c r="A196" s="269"/>
      <c r="C196" s="155"/>
    </row>
    <row r="197" spans="1:5">
      <c r="E197" s="155"/>
    </row>
    <row r="198" spans="1:5">
      <c r="A198" s="269"/>
      <c r="D198" s="155"/>
    </row>
    <row r="199" spans="1:5">
      <c r="E199" s="155"/>
    </row>
    <row r="200" spans="1:5">
      <c r="A200" s="269"/>
      <c r="C200" s="155"/>
    </row>
    <row r="201" spans="1:5">
      <c r="E201" s="155"/>
    </row>
    <row r="202" spans="1:5">
      <c r="A202" s="269"/>
      <c r="C202" s="155"/>
    </row>
    <row r="203" spans="1:5">
      <c r="E203" s="155"/>
    </row>
    <row r="204" spans="1:5">
      <c r="A204" s="269"/>
      <c r="C204" s="155"/>
    </row>
    <row r="205" spans="1:5">
      <c r="E205" s="155"/>
    </row>
    <row r="206" spans="1:5">
      <c r="A206" s="269"/>
      <c r="C206" s="155"/>
    </row>
    <row r="207" spans="1:5">
      <c r="E207" s="155"/>
    </row>
    <row r="208" spans="1:5">
      <c r="A208" s="269"/>
      <c r="C208" s="155"/>
    </row>
    <row r="210" spans="1:1">
      <c r="A210" s="269"/>
    </row>
  </sheetData>
  <mergeCells count="15">
    <mergeCell ref="G27:H27"/>
    <mergeCell ref="B28:D28"/>
    <mergeCell ref="B29:D29"/>
    <mergeCell ref="B14:D14"/>
    <mergeCell ref="B15:D15"/>
    <mergeCell ref="B17:D17"/>
    <mergeCell ref="B18:D18"/>
    <mergeCell ref="G21:H21"/>
    <mergeCell ref="G25:K25"/>
    <mergeCell ref="E10:F10"/>
    <mergeCell ref="B12:D12"/>
    <mergeCell ref="G14:K14"/>
    <mergeCell ref="B13:D13"/>
    <mergeCell ref="G15:H15"/>
    <mergeCell ref="J15:K15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32AF3-3D1E-495E-9637-1F0D902E9523}">
  <dimension ref="A6:R210"/>
  <sheetViews>
    <sheetView showGridLines="0" topLeftCell="C12" workbookViewId="0">
      <selection activeCell="E22" sqref="E22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7.5">
      <c r="A12" s="11"/>
      <c r="B12" s="334" t="s">
        <v>3</v>
      </c>
      <c r="C12" s="335"/>
      <c r="D12" s="336"/>
      <c r="E12" s="17">
        <f>SUM(E13:E15)</f>
        <v>3279510.6999999997</v>
      </c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337" t="s">
        <v>5</v>
      </c>
      <c r="C13" s="338"/>
      <c r="D13" s="339"/>
      <c r="E13" s="20">
        <f>J16+J17+J18+J19</f>
        <v>3232288.4</v>
      </c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49" t="s">
        <v>7</v>
      </c>
      <c r="C14" s="350"/>
      <c r="D14" s="351"/>
      <c r="E14" s="20">
        <f>G22+G23</f>
        <v>15337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52" t="s">
        <v>6</v>
      </c>
      <c r="C15" s="353"/>
      <c r="D15" s="354"/>
      <c r="E15" s="28">
        <f>G16+G17+G18</f>
        <v>31885.299999999996</v>
      </c>
      <c r="F15" s="153">
        <f>E13+E14+E15</f>
        <v>3279510.6999999997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236" t="s">
        <v>187</v>
      </c>
      <c r="C16" s="237"/>
      <c r="D16" s="238"/>
      <c r="E16" s="28">
        <f>+J22</f>
        <v>11107</v>
      </c>
      <c r="F16" s="153">
        <v>90000</v>
      </c>
      <c r="G16" s="22">
        <v>11279.9</v>
      </c>
      <c r="H16" s="23" t="s">
        <v>8</v>
      </c>
      <c r="I16" s="24"/>
      <c r="J16" s="25">
        <v>24760.13</v>
      </c>
      <c r="K16" s="26" t="s">
        <v>9</v>
      </c>
      <c r="L16" s="13"/>
      <c r="N16" s="3"/>
    </row>
    <row r="17" spans="2:18">
      <c r="B17" s="379" t="s">
        <v>11</v>
      </c>
      <c r="C17" s="380"/>
      <c r="D17" s="381"/>
      <c r="E17" s="20">
        <f>G29+G31+G30+G28</f>
        <v>14105.16</v>
      </c>
      <c r="F17" s="153">
        <f>+F15-F16</f>
        <v>3189510.6999999997</v>
      </c>
      <c r="G17" s="22">
        <v>11814.02</v>
      </c>
      <c r="H17" s="29" t="s">
        <v>10</v>
      </c>
      <c r="I17" s="30"/>
      <c r="J17" s="25">
        <v>69896.62</v>
      </c>
      <c r="K17" s="31" t="s">
        <v>10</v>
      </c>
      <c r="N17" s="3"/>
    </row>
    <row r="18" spans="2:18">
      <c r="B18" s="344" t="s">
        <v>13</v>
      </c>
      <c r="C18" s="345"/>
      <c r="D18" s="346"/>
      <c r="E18" s="20">
        <v>19084196.879999999</v>
      </c>
      <c r="F18" s="153"/>
      <c r="G18" s="22">
        <v>8791.3799999999992</v>
      </c>
      <c r="H18" s="29" t="s">
        <v>12</v>
      </c>
      <c r="I18" s="30"/>
      <c r="J18" s="25">
        <v>3111446.81</v>
      </c>
      <c r="K18" s="31" t="s">
        <v>12</v>
      </c>
      <c r="L18" s="152"/>
      <c r="N18" s="3"/>
    </row>
    <row r="19" spans="2:18">
      <c r="B19" s="187" t="s">
        <v>15</v>
      </c>
      <c r="C19" s="188"/>
      <c r="D19" s="189"/>
      <c r="E19" s="190">
        <f>SUM(E20:E23)</f>
        <v>3120683.5</v>
      </c>
      <c r="F19" s="153"/>
      <c r="G19" s="33"/>
      <c r="H19" s="34"/>
      <c r="I19" s="30"/>
      <c r="J19" s="25">
        <v>26184.84</v>
      </c>
      <c r="K19" s="31" t="s">
        <v>14</v>
      </c>
      <c r="N19" s="268"/>
    </row>
    <row r="20" spans="2:18">
      <c r="B20" s="187"/>
      <c r="C20" s="188"/>
      <c r="D20" s="198" t="s">
        <v>362</v>
      </c>
      <c r="E20" s="190">
        <v>3068784.54</v>
      </c>
      <c r="F20" s="153"/>
      <c r="G20" s="239"/>
      <c r="H20" s="240"/>
      <c r="I20" s="30"/>
      <c r="J20" s="25"/>
      <c r="K20" s="31"/>
    </row>
    <row r="21" spans="2:18">
      <c r="B21" s="187"/>
      <c r="C21" s="188"/>
      <c r="D21" s="198" t="s">
        <v>364</v>
      </c>
      <c r="E21" s="190">
        <v>8004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365</v>
      </c>
      <c r="E22" s="190">
        <v>24119.35</v>
      </c>
      <c r="F22" s="153"/>
      <c r="G22" s="44">
        <v>57.04</v>
      </c>
      <c r="H22" s="29" t="s">
        <v>10</v>
      </c>
      <c r="I22" s="30"/>
      <c r="J22" s="25">
        <v>11107</v>
      </c>
      <c r="K22" s="31" t="s">
        <v>188</v>
      </c>
      <c r="O22" s="235"/>
    </row>
    <row r="23" spans="2:18">
      <c r="B23" s="206"/>
      <c r="C23" s="205"/>
      <c r="D23" s="198" t="s">
        <v>365</v>
      </c>
      <c r="E23" s="190">
        <v>19775.61</v>
      </c>
      <c r="F23" s="153"/>
      <c r="G23" s="44">
        <v>15279.96</v>
      </c>
      <c r="H23" s="29" t="s">
        <v>18</v>
      </c>
      <c r="I23" s="30"/>
      <c r="J23" s="25"/>
      <c r="K23" s="31"/>
    </row>
    <row r="24" spans="2:18" ht="15" thickBot="1">
      <c r="B24" s="46" t="s">
        <v>17</v>
      </c>
      <c r="C24" s="47"/>
      <c r="D24" s="48"/>
      <c r="E24" s="234">
        <f>68342.57+8000</f>
        <v>76342.570000000007</v>
      </c>
      <c r="F24" s="220"/>
      <c r="G24" s="51"/>
      <c r="H24" s="34"/>
      <c r="I24" s="30"/>
      <c r="J24" s="210"/>
      <c r="K24" s="53"/>
      <c r="N24" s="290"/>
    </row>
    <row r="25" spans="2:18" ht="15" thickBot="1">
      <c r="B25" s="202" t="s">
        <v>58</v>
      </c>
      <c r="C25" s="203"/>
      <c r="D25" s="204"/>
      <c r="E25" s="234">
        <v>140000</v>
      </c>
      <c r="F25" s="153">
        <f>+F17-E24</f>
        <v>3113168.13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199" t="s">
        <v>22</v>
      </c>
      <c r="C26" s="200"/>
      <c r="D26" s="201"/>
      <c r="E26" s="234">
        <v>0</v>
      </c>
      <c r="F26" s="288">
        <f>SUM(E24:E30)</f>
        <v>219260.57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366</v>
      </c>
      <c r="C27" s="200"/>
      <c r="D27" s="201"/>
      <c r="E27" s="234">
        <f>1412+1506</f>
        <v>2918</v>
      </c>
      <c r="F27" s="153">
        <f>+F25-F26</f>
        <v>2893907.56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199" t="s">
        <v>80</v>
      </c>
      <c r="C28" s="200"/>
      <c r="D28" s="201"/>
      <c r="E28" s="49">
        <v>0</v>
      </c>
      <c r="F28" s="221"/>
      <c r="G28" s="22">
        <v>4147.1499999999996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344" t="s">
        <v>69</v>
      </c>
      <c r="C29" s="345"/>
      <c r="D29" s="346"/>
      <c r="E29" s="49">
        <v>0</v>
      </c>
      <c r="F29" s="220"/>
      <c r="G29" s="22">
        <v>973.6</v>
      </c>
      <c r="H29" s="62" t="s">
        <v>26</v>
      </c>
      <c r="I29" s="63"/>
      <c r="J29" s="64" t="s">
        <v>27</v>
      </c>
      <c r="K29" s="65" t="s">
        <v>28</v>
      </c>
    </row>
    <row r="30" spans="2:18" ht="15" thickBot="1">
      <c r="B30" s="363" t="s">
        <v>29</v>
      </c>
      <c r="C30" s="364"/>
      <c r="D30" s="365"/>
      <c r="E30" s="66">
        <v>0</v>
      </c>
      <c r="F30" s="220"/>
      <c r="G30" s="67">
        <v>1766.32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E31" s="79"/>
      <c r="F31" s="220"/>
      <c r="G31" s="71">
        <v>7218.09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79"/>
      <c r="F32" s="220"/>
      <c r="N32" s="269"/>
      <c r="P32" s="155"/>
      <c r="R32" s="155"/>
    </row>
    <row r="33" spans="2:18">
      <c r="E33" s="79"/>
      <c r="F33" s="220"/>
    </row>
    <row r="34" spans="2:18">
      <c r="E34" s="79"/>
      <c r="F34" s="220"/>
      <c r="H34" s="61"/>
      <c r="I34" s="61"/>
      <c r="J34" s="13"/>
      <c r="K34" s="61"/>
      <c r="L34" s="61"/>
      <c r="M34" s="61"/>
      <c r="N34" s="269"/>
      <c r="P34" s="155"/>
      <c r="R34" s="155"/>
    </row>
    <row r="35" spans="2:18">
      <c r="B35" s="61"/>
      <c r="C35" s="61"/>
      <c r="D35" s="61"/>
      <c r="E35" s="181" t="s">
        <v>354</v>
      </c>
      <c r="F35" s="220"/>
      <c r="H35" s="61"/>
      <c r="I35" s="61"/>
      <c r="J35" s="13"/>
      <c r="K35" s="61"/>
      <c r="L35" s="61"/>
      <c r="M35" s="61"/>
    </row>
    <row r="36" spans="2:18" s="61" customFormat="1" ht="15" customHeight="1">
      <c r="E36" s="181"/>
      <c r="F36" s="222"/>
      <c r="G36" s="8"/>
      <c r="H36" s="13"/>
      <c r="J36" s="13"/>
      <c r="K36" s="83"/>
      <c r="L36" s="88"/>
      <c r="N36" s="272"/>
      <c r="P36" s="273"/>
      <c r="R36" s="273"/>
    </row>
    <row r="37" spans="2:18" s="61" customFormat="1" ht="15" customHeight="1">
      <c r="E37" s="8" t="s">
        <v>34</v>
      </c>
      <c r="F37" s="222"/>
      <c r="G37" s="181"/>
      <c r="H37" s="161"/>
      <c r="I37" s="197"/>
      <c r="J37" s="13"/>
      <c r="K37" s="83"/>
      <c r="L37" s="161"/>
      <c r="M37" s="197"/>
    </row>
    <row r="38" spans="2:18" s="61" customFormat="1" ht="15" customHeight="1">
      <c r="E38" s="8" t="s">
        <v>35</v>
      </c>
      <c r="F38" s="222">
        <f>F17</f>
        <v>3189510.6999999997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2:18" s="61" customFormat="1" ht="15" customHeight="1">
      <c r="E39" s="8" t="s">
        <v>36</v>
      </c>
      <c r="F39" s="222">
        <f>+E17</f>
        <v>14105.16</v>
      </c>
      <c r="G39" s="86"/>
      <c r="I39" s="197"/>
      <c r="J39" s="13"/>
      <c r="K39" s="85"/>
      <c r="M39" s="197"/>
    </row>
    <row r="40" spans="2:18" s="61" customFormat="1" ht="15" customHeight="1">
      <c r="E40" s="8" t="s">
        <v>37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2:18" s="61" customFormat="1" ht="15" customHeight="1">
      <c r="E41" s="182" t="s">
        <v>38</v>
      </c>
      <c r="F41" s="222">
        <v>0</v>
      </c>
      <c r="G41" s="9"/>
      <c r="I41" s="197"/>
      <c r="J41" s="13"/>
      <c r="M41" s="197"/>
    </row>
    <row r="42" spans="2:18" s="61" customFormat="1" ht="15" customHeight="1">
      <c r="E42" s="183"/>
      <c r="F42" s="223">
        <f>SUM(F38:F41)</f>
        <v>3203615.86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183" t="s">
        <v>152</v>
      </c>
      <c r="F43" s="224"/>
      <c r="G43" s="9"/>
      <c r="H43" s="163"/>
      <c r="I43" s="229"/>
      <c r="J43" s="13"/>
      <c r="L43" s="163"/>
      <c r="M43" s="229"/>
    </row>
    <row r="44" spans="2:18" s="61" customFormat="1" ht="15" customHeight="1">
      <c r="E44" s="183" t="s">
        <v>355</v>
      </c>
      <c r="F44" s="224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2:18" s="61" customFormat="1" ht="15" customHeight="1">
      <c r="E45" s="183" t="s">
        <v>356</v>
      </c>
      <c r="F45" s="224">
        <v>1300000</v>
      </c>
      <c r="G45" s="9"/>
      <c r="H45" s="165"/>
      <c r="I45" s="230"/>
      <c r="J45" s="13"/>
    </row>
    <row r="46" spans="2:18" s="61" customFormat="1" ht="15" customHeight="1">
      <c r="E46" s="183" t="s">
        <v>64</v>
      </c>
      <c r="F46" s="224">
        <v>120000</v>
      </c>
      <c r="G46" s="9"/>
      <c r="H46" s="165"/>
      <c r="I46" s="230"/>
      <c r="J46" s="13"/>
    </row>
    <row r="47" spans="2:18" s="61" customFormat="1" ht="15" customHeight="1">
      <c r="E47" s="183" t="s">
        <v>69</v>
      </c>
      <c r="F47" s="224">
        <v>0</v>
      </c>
      <c r="G47" s="9"/>
      <c r="H47" s="165"/>
      <c r="I47" s="230"/>
      <c r="J47" s="13"/>
    </row>
    <row r="48" spans="2:18" s="61" customFormat="1" ht="15" customHeight="1">
      <c r="E48" s="116" t="s">
        <v>24</v>
      </c>
      <c r="F48" s="224">
        <v>60000</v>
      </c>
      <c r="G48" s="9"/>
      <c r="H48" s="165"/>
      <c r="I48" s="230"/>
      <c r="J48" s="13"/>
    </row>
    <row r="49" spans="2:13" s="61" customFormat="1" ht="15" customHeight="1">
      <c r="E49" s="116" t="s">
        <v>22</v>
      </c>
      <c r="F49" s="220">
        <v>0</v>
      </c>
      <c r="G49" s="9"/>
      <c r="H49" s="165"/>
      <c r="I49" s="230"/>
      <c r="J49" s="13"/>
    </row>
    <row r="50" spans="2:13" s="61" customFormat="1">
      <c r="E50" s="116" t="s">
        <v>40</v>
      </c>
      <c r="F50" s="220">
        <v>50000</v>
      </c>
      <c r="G50" s="8"/>
      <c r="H50" s="91"/>
      <c r="I50" s="231"/>
      <c r="J50" s="13"/>
    </row>
    <row r="51" spans="2:13" s="61" customFormat="1">
      <c r="E51" s="118" t="s">
        <v>41</v>
      </c>
      <c r="F51" s="226">
        <f>200000-90000-60000</f>
        <v>50000</v>
      </c>
      <c r="G51" s="8"/>
      <c r="H51" s="96"/>
      <c r="I51" s="231"/>
      <c r="J51" s="262"/>
    </row>
    <row r="52" spans="2:13" s="61" customFormat="1">
      <c r="E52" s="118" t="s">
        <v>42</v>
      </c>
      <c r="F52" s="225">
        <f>SUM(F44:F51)</f>
        <v>1705000</v>
      </c>
      <c r="G52" s="82"/>
      <c r="H52" s="83"/>
      <c r="I52" s="228"/>
      <c r="J52" s="13"/>
    </row>
    <row r="53" spans="2:13" s="61" customFormat="1">
      <c r="E53" s="8"/>
      <c r="F53" s="225">
        <f>F42-F52</f>
        <v>1498615.8599999999</v>
      </c>
      <c r="G53" s="82"/>
      <c r="H53" s="83"/>
      <c r="I53" s="233"/>
      <c r="J53" s="13"/>
      <c r="L53" s="91"/>
      <c r="M53" s="232"/>
    </row>
    <row r="54" spans="2:13" s="61" customFormat="1">
      <c r="E54" s="82" t="s">
        <v>43</v>
      </c>
      <c r="F54" s="154"/>
      <c r="G54" s="82"/>
      <c r="H54" s="83"/>
      <c r="I54" s="233"/>
      <c r="J54" s="13"/>
      <c r="L54" s="91"/>
      <c r="M54" s="232"/>
    </row>
    <row r="55" spans="2:13" s="61" customFormat="1">
      <c r="E55" s="82" t="s">
        <v>44</v>
      </c>
      <c r="F55" s="80">
        <f>43800+180000</f>
        <v>223800</v>
      </c>
      <c r="G55" s="82"/>
      <c r="H55" s="83"/>
      <c r="I55" s="233"/>
      <c r="J55" s="13"/>
      <c r="L55" s="96"/>
      <c r="M55" s="231"/>
    </row>
    <row r="56" spans="2:13" s="61" customFormat="1">
      <c r="E56" s="82" t="s">
        <v>45</v>
      </c>
      <c r="F56" s="80">
        <v>365000</v>
      </c>
      <c r="G56" s="82"/>
      <c r="H56" s="96"/>
      <c r="I56" s="228"/>
      <c r="J56" s="13"/>
      <c r="L56" s="96"/>
      <c r="M56" s="233"/>
    </row>
    <row r="57" spans="2:13" s="61" customFormat="1">
      <c r="E57" s="82" t="s">
        <v>205</v>
      </c>
      <c r="F57" s="117">
        <v>0</v>
      </c>
      <c r="G57" s="82"/>
      <c r="H57" s="83"/>
      <c r="I57" s="233"/>
      <c r="J57" s="13"/>
    </row>
    <row r="58" spans="2:13" s="61" customFormat="1">
      <c r="B58"/>
      <c r="C58"/>
      <c r="D58"/>
      <c r="E58" s="82" t="s">
        <v>206</v>
      </c>
      <c r="F58" s="117">
        <v>0</v>
      </c>
      <c r="G58"/>
      <c r="H58" s="96"/>
      <c r="I58" s="219"/>
      <c r="J58" s="13"/>
      <c r="L58" s="83"/>
      <c r="M58" s="228"/>
    </row>
    <row r="59" spans="2:13">
      <c r="E59" s="118" t="s">
        <v>46</v>
      </c>
      <c r="F59" s="117">
        <v>0</v>
      </c>
      <c r="H59" s="61"/>
      <c r="I59" s="61"/>
      <c r="J59" s="13"/>
      <c r="K59" s="61"/>
      <c r="L59" s="61"/>
      <c r="M59" s="61"/>
    </row>
    <row r="60" spans="2:13">
      <c r="E60" s="82"/>
      <c r="F60" s="120">
        <f>SUM(F55:F59)</f>
        <v>588800</v>
      </c>
      <c r="H60" s="61"/>
      <c r="I60" s="61"/>
      <c r="J60" s="13"/>
      <c r="K60" s="61"/>
      <c r="L60" s="61"/>
      <c r="M60" s="61"/>
    </row>
    <row r="61" spans="2:13">
      <c r="E61" s="118" t="s">
        <v>47</v>
      </c>
      <c r="F61" s="80"/>
    </row>
    <row r="62" spans="2:13">
      <c r="D62" s="247" t="s">
        <v>192</v>
      </c>
      <c r="E62" s="8"/>
      <c r="F62" s="120">
        <f>F53-F60</f>
        <v>909815.85999999987</v>
      </c>
      <c r="G62" s="8"/>
    </row>
    <row r="63" spans="2:13">
      <c r="D63" s="247" t="s">
        <v>194</v>
      </c>
      <c r="E63" s="8"/>
      <c r="F63" s="220"/>
      <c r="G63" s="8"/>
    </row>
    <row r="64" spans="2:13">
      <c r="D64" s="8" t="s">
        <v>9</v>
      </c>
      <c r="E64" s="8"/>
      <c r="G64" s="8"/>
    </row>
    <row r="65" spans="1:7">
      <c r="D65" s="8" t="s">
        <v>195</v>
      </c>
      <c r="E65" s="8"/>
      <c r="G65" s="8"/>
    </row>
    <row r="66" spans="1:7">
      <c r="D66" s="8" t="s">
        <v>188</v>
      </c>
      <c r="E66" s="247"/>
      <c r="G66" s="124">
        <f>SUM(E72:F72)</f>
        <v>0</v>
      </c>
    </row>
    <row r="67" spans="1:7">
      <c r="D67" s="8"/>
      <c r="E67" s="247"/>
      <c r="F67" s="275"/>
      <c r="G67" s="8"/>
    </row>
    <row r="68" spans="1:7">
      <c r="E68" s="249"/>
      <c r="F68" s="286"/>
    </row>
    <row r="69" spans="1:7">
      <c r="E69" s="249"/>
      <c r="F69" s="246"/>
    </row>
    <row r="70" spans="1:7">
      <c r="E70" s="249"/>
      <c r="F70" s="287"/>
    </row>
    <row r="71" spans="1:7">
      <c r="E71" s="124"/>
      <c r="F71" s="287"/>
    </row>
    <row r="72" spans="1:7">
      <c r="E72" s="8"/>
      <c r="F72" s="287"/>
    </row>
    <row r="73" spans="1:7">
      <c r="E73" s="8"/>
    </row>
    <row r="74" spans="1:7">
      <c r="A74" s="268"/>
      <c r="E74" s="8"/>
    </row>
    <row r="75" spans="1:7">
      <c r="E75" s="8"/>
    </row>
    <row r="76" spans="1:7">
      <c r="B76" s="235"/>
      <c r="E76" s="8"/>
    </row>
    <row r="77" spans="1:7">
      <c r="E77" s="8"/>
    </row>
    <row r="78" spans="1:7">
      <c r="E78" s="293"/>
    </row>
    <row r="79" spans="1:7">
      <c r="C79" s="155"/>
      <c r="E79" s="8"/>
    </row>
    <row r="80" spans="1:7">
      <c r="A80" s="269"/>
      <c r="E80" s="293"/>
    </row>
    <row r="81" spans="1:5">
      <c r="C81" s="155"/>
      <c r="E81" s="8"/>
    </row>
    <row r="82" spans="1:5">
      <c r="A82" s="269"/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77"/>
    </row>
    <row r="111" spans="1:5">
      <c r="C111" s="155"/>
      <c r="E111" s="79"/>
    </row>
    <row r="112" spans="1:5">
      <c r="A112" s="269"/>
      <c r="E112" s="277"/>
    </row>
    <row r="113" spans="1:5">
      <c r="C113" s="155"/>
      <c r="E113" s="79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</row>
    <row r="124" spans="1:5">
      <c r="A124" s="269"/>
      <c r="E124" s="155"/>
    </row>
    <row r="125" spans="1:5">
      <c r="C125" s="155"/>
    </row>
    <row r="126" spans="1:5">
      <c r="A126" s="269"/>
      <c r="E126" s="155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D199" s="155"/>
    </row>
    <row r="200" spans="1:5">
      <c r="A200" s="269"/>
      <c r="E200" s="155"/>
    </row>
    <row r="201" spans="1:5">
      <c r="C201" s="155"/>
    </row>
    <row r="202" spans="1:5">
      <c r="A202" s="269"/>
      <c r="E202" s="155"/>
    </row>
    <row r="203" spans="1:5">
      <c r="C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3">
      <c r="C209" s="155"/>
    </row>
    <row r="210" spans="1:3">
      <c r="A210" s="269"/>
    </row>
  </sheetData>
  <mergeCells count="15">
    <mergeCell ref="B30:D30"/>
    <mergeCell ref="B17:D17"/>
    <mergeCell ref="B18:D18"/>
    <mergeCell ref="G21:H21"/>
    <mergeCell ref="G25:K25"/>
    <mergeCell ref="G27:H27"/>
    <mergeCell ref="B29:D29"/>
    <mergeCell ref="B15:D15"/>
    <mergeCell ref="G15:H15"/>
    <mergeCell ref="J15:K15"/>
    <mergeCell ref="E10:F10"/>
    <mergeCell ref="B12:D12"/>
    <mergeCell ref="B13:D13"/>
    <mergeCell ref="B14:D14"/>
    <mergeCell ref="G14:K14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BE06A-C407-4FD8-BAE3-E1FFA498F652}">
  <dimension ref="A6:R210"/>
  <sheetViews>
    <sheetView showGridLines="0" topLeftCell="E9" workbookViewId="0">
      <selection activeCell="M21" sqref="M21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7.5">
      <c r="A12" s="11"/>
      <c r="B12" s="334" t="s">
        <v>3</v>
      </c>
      <c r="C12" s="335"/>
      <c r="D12" s="336"/>
      <c r="E12" s="17">
        <f>SUM(E13:E15)</f>
        <v>3059400.91</v>
      </c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337" t="s">
        <v>5</v>
      </c>
      <c r="C13" s="338"/>
      <c r="D13" s="339"/>
      <c r="E13" s="20">
        <f>J16+J17+J18+J19</f>
        <v>2989327.44</v>
      </c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49" t="s">
        <v>7</v>
      </c>
      <c r="C14" s="350"/>
      <c r="D14" s="351"/>
      <c r="E14" s="20">
        <f>G22+G23</f>
        <v>15337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52" t="s">
        <v>6</v>
      </c>
      <c r="C15" s="353"/>
      <c r="D15" s="354"/>
      <c r="E15" s="28">
        <f>G16+G17+G18</f>
        <v>54736.47</v>
      </c>
      <c r="F15" s="153">
        <f>E13+E14+E15</f>
        <v>3059400.91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236" t="s">
        <v>187</v>
      </c>
      <c r="C16" s="237"/>
      <c r="D16" s="238"/>
      <c r="E16" s="28">
        <f>+J22</f>
        <v>11107</v>
      </c>
      <c r="F16" s="153">
        <v>90000</v>
      </c>
      <c r="G16" s="22">
        <v>11279.9</v>
      </c>
      <c r="H16" s="23" t="s">
        <v>8</v>
      </c>
      <c r="I16" s="24"/>
      <c r="J16" s="25">
        <v>24760.13</v>
      </c>
      <c r="K16" s="26" t="s">
        <v>9</v>
      </c>
      <c r="L16" s="13"/>
      <c r="N16" s="3"/>
    </row>
    <row r="17" spans="2:18">
      <c r="B17" s="379" t="s">
        <v>11</v>
      </c>
      <c r="C17" s="380"/>
      <c r="D17" s="381"/>
      <c r="E17" s="20">
        <f>G29+G31+G30+G28</f>
        <v>14125.490000000002</v>
      </c>
      <c r="F17" s="153">
        <f>+F15-F16</f>
        <v>2969400.91</v>
      </c>
      <c r="G17" s="22">
        <v>21488</v>
      </c>
      <c r="H17" s="29" t="s">
        <v>10</v>
      </c>
      <c r="I17" s="30"/>
      <c r="J17" s="25">
        <v>16738.62</v>
      </c>
      <c r="K17" s="31" t="s">
        <v>10</v>
      </c>
      <c r="N17" s="3"/>
    </row>
    <row r="18" spans="2:18">
      <c r="B18" s="344" t="s">
        <v>13</v>
      </c>
      <c r="C18" s="345"/>
      <c r="D18" s="346"/>
      <c r="E18" s="20">
        <v>16170248.859999999</v>
      </c>
      <c r="F18" s="153"/>
      <c r="G18" s="22">
        <v>21968.57</v>
      </c>
      <c r="H18" s="29" t="s">
        <v>12</v>
      </c>
      <c r="I18" s="30"/>
      <c r="J18" s="25">
        <v>2883051.41</v>
      </c>
      <c r="K18" s="31" t="s">
        <v>12</v>
      </c>
      <c r="L18" s="152"/>
      <c r="N18" s="3"/>
    </row>
    <row r="19" spans="2:18">
      <c r="B19" s="187" t="s">
        <v>15</v>
      </c>
      <c r="C19" s="188"/>
      <c r="D19" s="189"/>
      <c r="E19" s="190">
        <f>SUM(E20:E22)</f>
        <v>0</v>
      </c>
      <c r="F19" s="153"/>
      <c r="G19" s="33"/>
      <c r="H19" s="34"/>
      <c r="I19" s="30"/>
      <c r="J19" s="25">
        <v>64777.279999999999</v>
      </c>
      <c r="K19" s="31" t="s">
        <v>14</v>
      </c>
      <c r="L19" s="294"/>
      <c r="M19" s="294"/>
      <c r="N19" s="268"/>
    </row>
    <row r="20" spans="2:18">
      <c r="B20" s="187"/>
      <c r="C20" s="188"/>
      <c r="D20" s="198"/>
      <c r="E20" s="190">
        <v>0</v>
      </c>
      <c r="F20" s="153"/>
      <c r="G20" s="239"/>
      <c r="H20" s="240"/>
      <c r="I20" s="30"/>
      <c r="J20" s="25"/>
      <c r="K20" s="31"/>
      <c r="L20" s="294"/>
      <c r="M20" s="294"/>
    </row>
    <row r="21" spans="2:18">
      <c r="B21" s="187"/>
      <c r="C21" s="188"/>
      <c r="D21" s="198"/>
      <c r="E21" s="190">
        <v>0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</row>
    <row r="22" spans="2:18">
      <c r="B22" s="187"/>
      <c r="C22" s="188"/>
      <c r="D22" s="198"/>
      <c r="E22" s="190">
        <v>0</v>
      </c>
      <c r="F22" s="153"/>
      <c r="G22" s="44">
        <v>57.04</v>
      </c>
      <c r="H22" s="29" t="s">
        <v>10</v>
      </c>
      <c r="I22" s="30"/>
      <c r="J22" s="25">
        <v>11107</v>
      </c>
      <c r="K22" s="31" t="s">
        <v>188</v>
      </c>
      <c r="L22" s="294"/>
      <c r="M22" s="294"/>
      <c r="O22" s="235"/>
    </row>
    <row r="23" spans="2:18">
      <c r="B23" s="46" t="s">
        <v>17</v>
      </c>
      <c r="C23" s="47"/>
      <c r="D23" s="48"/>
      <c r="E23" s="234">
        <v>66544.87</v>
      </c>
      <c r="F23" s="153"/>
      <c r="G23" s="44">
        <v>15279.96</v>
      </c>
      <c r="H23" s="29" t="s">
        <v>18</v>
      </c>
      <c r="I23" s="30"/>
      <c r="J23" s="25"/>
      <c r="K23" s="31"/>
    </row>
    <row r="24" spans="2:18" ht="15" thickBot="1">
      <c r="B24" s="202" t="s">
        <v>58</v>
      </c>
      <c r="C24" s="203"/>
      <c r="D24" s="204"/>
      <c r="E24" s="234">
        <v>0</v>
      </c>
      <c r="F24" s="220"/>
      <c r="G24" s="51"/>
      <c r="H24" s="34"/>
      <c r="I24" s="30"/>
      <c r="J24" s="210"/>
      <c r="K24" s="53"/>
      <c r="N24" s="290"/>
    </row>
    <row r="25" spans="2:18" ht="15" thickBot="1">
      <c r="B25" s="199" t="s">
        <v>22</v>
      </c>
      <c r="C25" s="200"/>
      <c r="D25" s="201"/>
      <c r="E25" s="234">
        <v>0</v>
      </c>
      <c r="F25" s="153">
        <f>+F17-E23</f>
        <v>2902856.04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199" t="s">
        <v>366</v>
      </c>
      <c r="C26" s="200"/>
      <c r="D26" s="201"/>
      <c r="E26" s="234">
        <v>2918</v>
      </c>
      <c r="F26" s="288">
        <f>SUM(E23:E29)</f>
        <v>69462.87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80</v>
      </c>
      <c r="C27" s="200"/>
      <c r="D27" s="201"/>
      <c r="E27" s="49">
        <v>0</v>
      </c>
      <c r="F27" s="153">
        <f>+F25-F26</f>
        <v>2833393.17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344" t="s">
        <v>69</v>
      </c>
      <c r="C28" s="345"/>
      <c r="D28" s="346"/>
      <c r="E28" s="49">
        <v>0</v>
      </c>
      <c r="F28" s="221"/>
      <c r="G28" s="22">
        <v>4150.38</v>
      </c>
      <c r="H28" s="62" t="s">
        <v>9</v>
      </c>
      <c r="I28" s="59"/>
      <c r="J28" s="60"/>
      <c r="K28" s="45"/>
      <c r="N28" s="269"/>
      <c r="P28" s="155"/>
      <c r="R28" s="155"/>
    </row>
    <row r="29" spans="2:18" ht="15" thickBot="1">
      <c r="B29" s="363" t="s">
        <v>29</v>
      </c>
      <c r="C29" s="364"/>
      <c r="D29" s="365"/>
      <c r="E29" s="66">
        <v>0</v>
      </c>
      <c r="F29" s="220"/>
      <c r="G29" s="22">
        <v>973.6</v>
      </c>
      <c r="H29" s="62" t="s">
        <v>26</v>
      </c>
      <c r="I29" s="63"/>
      <c r="J29" s="64" t="s">
        <v>27</v>
      </c>
      <c r="K29" s="65" t="s">
        <v>28</v>
      </c>
    </row>
    <row r="30" spans="2:18">
      <c r="E30" s="79"/>
      <c r="F30" s="220"/>
      <c r="G30" s="67">
        <v>1767.69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E31" s="79"/>
      <c r="F31" s="220"/>
      <c r="G31" s="71">
        <v>7233.82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79"/>
      <c r="F32" s="220"/>
      <c r="N32" s="269"/>
      <c r="P32" s="155"/>
      <c r="R32" s="155"/>
    </row>
    <row r="33" spans="2:18">
      <c r="E33" s="79"/>
      <c r="F33" s="220"/>
    </row>
    <row r="34" spans="2:18">
      <c r="B34" s="61"/>
      <c r="C34" s="61"/>
      <c r="D34" s="61"/>
      <c r="E34" s="181" t="s">
        <v>354</v>
      </c>
      <c r="F34" s="220"/>
      <c r="H34" s="61"/>
      <c r="I34" s="61"/>
      <c r="J34" s="13"/>
      <c r="K34" s="61"/>
      <c r="L34" s="61"/>
      <c r="M34" s="61"/>
      <c r="N34" s="269"/>
      <c r="P34" s="155"/>
      <c r="R34" s="155"/>
    </row>
    <row r="35" spans="2:18">
      <c r="B35" s="61"/>
      <c r="C35" s="61"/>
      <c r="D35" s="61"/>
      <c r="E35" s="181"/>
      <c r="F35" s="220"/>
      <c r="H35" s="61"/>
      <c r="I35" s="61"/>
      <c r="J35" s="13"/>
      <c r="K35" s="61"/>
      <c r="L35" s="61"/>
      <c r="M35" s="61"/>
    </row>
    <row r="36" spans="2:18" s="61" customFormat="1" ht="15" customHeight="1">
      <c r="E36" s="8" t="s">
        <v>34</v>
      </c>
      <c r="F36" s="222"/>
      <c r="G36" s="8"/>
      <c r="H36" s="13"/>
      <c r="J36" s="13"/>
      <c r="K36" s="83"/>
      <c r="L36" s="88"/>
      <c r="N36" s="272"/>
      <c r="P36" s="273"/>
      <c r="R36" s="273"/>
    </row>
    <row r="37" spans="2:18" s="61" customFormat="1" ht="15" customHeight="1">
      <c r="E37" s="8" t="s">
        <v>35</v>
      </c>
      <c r="F37" s="222"/>
      <c r="G37" s="181"/>
      <c r="H37" s="161"/>
      <c r="I37" s="197"/>
      <c r="J37" s="13"/>
      <c r="K37" s="83"/>
      <c r="L37" s="161"/>
      <c r="M37" s="197"/>
    </row>
    <row r="38" spans="2:18" s="61" customFormat="1" ht="15" customHeight="1">
      <c r="E38" s="8" t="s">
        <v>36</v>
      </c>
      <c r="F38" s="222">
        <f>F17</f>
        <v>2969400.91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2:18" s="61" customFormat="1" ht="15" customHeight="1">
      <c r="E39" s="8" t="s">
        <v>37</v>
      </c>
      <c r="F39" s="222">
        <f>+E17</f>
        <v>14125.490000000002</v>
      </c>
      <c r="G39" s="86"/>
      <c r="I39" s="197"/>
      <c r="J39" s="13"/>
      <c r="K39" s="85"/>
      <c r="M39" s="197"/>
    </row>
    <row r="40" spans="2:18" s="61" customFormat="1" ht="15" customHeight="1">
      <c r="E40" s="182" t="s">
        <v>38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2:18" s="61" customFormat="1" ht="15" customHeight="1">
      <c r="E41" s="183"/>
      <c r="F41" s="222">
        <v>0</v>
      </c>
      <c r="G41" s="9"/>
      <c r="I41" s="197"/>
      <c r="J41" s="13"/>
      <c r="M41" s="197"/>
    </row>
    <row r="42" spans="2:18" s="61" customFormat="1" ht="15" customHeight="1">
      <c r="E42" s="183" t="s">
        <v>152</v>
      </c>
      <c r="F42" s="223">
        <f>SUM(F38:F41)</f>
        <v>2983526.4000000004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183" t="s">
        <v>355</v>
      </c>
      <c r="F43" s="224"/>
      <c r="G43" s="9"/>
      <c r="H43" s="163"/>
      <c r="I43" s="229"/>
      <c r="J43" s="13"/>
      <c r="L43" s="163"/>
      <c r="M43" s="229"/>
    </row>
    <row r="44" spans="2:18" s="61" customFormat="1" ht="15" customHeight="1">
      <c r="E44" s="183" t="s">
        <v>356</v>
      </c>
      <c r="F44" s="224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2:18" s="61" customFormat="1" ht="15" customHeight="1">
      <c r="E45" s="183" t="s">
        <v>64</v>
      </c>
      <c r="F45" s="224">
        <v>1300000</v>
      </c>
      <c r="G45" s="9"/>
      <c r="H45" s="165"/>
      <c r="I45" s="230"/>
      <c r="J45" s="13"/>
    </row>
    <row r="46" spans="2:18" s="61" customFormat="1" ht="15" customHeight="1">
      <c r="E46" s="183" t="s">
        <v>69</v>
      </c>
      <c r="F46" s="224">
        <v>120000</v>
      </c>
      <c r="G46" s="9"/>
      <c r="H46" s="165"/>
      <c r="I46" s="230"/>
      <c r="J46" s="13"/>
    </row>
    <row r="47" spans="2:18" s="61" customFormat="1" ht="15" customHeight="1">
      <c r="E47" s="116" t="s">
        <v>24</v>
      </c>
      <c r="F47" s="224">
        <v>0</v>
      </c>
      <c r="G47" s="9"/>
      <c r="H47" s="165"/>
      <c r="I47" s="230"/>
      <c r="J47" s="13"/>
    </row>
    <row r="48" spans="2:18" s="61" customFormat="1" ht="15" customHeight="1">
      <c r="E48" s="116" t="s">
        <v>22</v>
      </c>
      <c r="F48" s="224">
        <v>60000</v>
      </c>
      <c r="G48" s="9"/>
      <c r="H48" s="165"/>
      <c r="I48" s="230"/>
      <c r="J48" s="13"/>
    </row>
    <row r="49" spans="2:13" s="61" customFormat="1" ht="15" customHeight="1">
      <c r="E49" s="116" t="s">
        <v>40</v>
      </c>
      <c r="F49" s="220">
        <v>0</v>
      </c>
      <c r="G49" s="9"/>
      <c r="H49" s="165"/>
      <c r="I49" s="230"/>
      <c r="J49" s="13"/>
    </row>
    <row r="50" spans="2:13" s="61" customFormat="1">
      <c r="E50" s="118" t="s">
        <v>41</v>
      </c>
      <c r="F50" s="220">
        <v>50000</v>
      </c>
      <c r="G50" s="8"/>
      <c r="H50" s="91"/>
      <c r="I50" s="231"/>
      <c r="J50" s="13"/>
    </row>
    <row r="51" spans="2:13" s="61" customFormat="1">
      <c r="E51" s="118" t="s">
        <v>42</v>
      </c>
      <c r="F51" s="226">
        <f>200000-90000-60000</f>
        <v>50000</v>
      </c>
      <c r="G51" s="8"/>
      <c r="H51" s="96"/>
      <c r="I51" s="231"/>
      <c r="J51" s="262"/>
    </row>
    <row r="52" spans="2:13" s="61" customFormat="1">
      <c r="E52" s="8"/>
      <c r="F52" s="225">
        <f>SUM(F44:F51)</f>
        <v>1705000</v>
      </c>
      <c r="G52" s="82"/>
      <c r="H52" s="83"/>
      <c r="I52" s="228"/>
      <c r="J52" s="13"/>
    </row>
    <row r="53" spans="2:13" s="61" customFormat="1">
      <c r="E53" s="82" t="s">
        <v>43</v>
      </c>
      <c r="F53" s="225">
        <f>F42-F52</f>
        <v>1278526.4000000004</v>
      </c>
      <c r="G53" s="82"/>
      <c r="H53" s="83"/>
      <c r="I53" s="233"/>
      <c r="J53" s="13"/>
      <c r="L53" s="91"/>
      <c r="M53" s="232"/>
    </row>
    <row r="54" spans="2:13" s="61" customFormat="1">
      <c r="E54" s="82" t="s">
        <v>44</v>
      </c>
      <c r="F54" s="154"/>
      <c r="G54" s="82"/>
      <c r="H54" s="83"/>
      <c r="I54" s="233"/>
      <c r="J54" s="13"/>
      <c r="L54" s="91"/>
      <c r="M54" s="232"/>
    </row>
    <row r="55" spans="2:13" s="61" customFormat="1">
      <c r="E55" s="82" t="s">
        <v>45</v>
      </c>
      <c r="F55" s="80">
        <f>43800+180000</f>
        <v>223800</v>
      </c>
      <c r="G55" s="82"/>
      <c r="H55" s="83"/>
      <c r="I55" s="233"/>
      <c r="J55" s="13"/>
      <c r="L55" s="96"/>
      <c r="M55" s="231"/>
    </row>
    <row r="56" spans="2:13" s="61" customFormat="1">
      <c r="E56" s="82" t="s">
        <v>205</v>
      </c>
      <c r="F56" s="80">
        <v>365000</v>
      </c>
      <c r="G56" s="82"/>
      <c r="H56" s="96"/>
      <c r="I56" s="228"/>
      <c r="J56" s="13"/>
      <c r="L56" s="96"/>
      <c r="M56" s="233"/>
    </row>
    <row r="57" spans="2:13" s="61" customFormat="1">
      <c r="B57"/>
      <c r="C57"/>
      <c r="D57"/>
      <c r="E57" s="82" t="s">
        <v>206</v>
      </c>
      <c r="F57" s="117">
        <v>0</v>
      </c>
      <c r="G57" s="82"/>
      <c r="H57" s="83"/>
      <c r="I57" s="233"/>
      <c r="J57" s="13"/>
    </row>
    <row r="58" spans="2:13" s="61" customFormat="1">
      <c r="B58"/>
      <c r="C58"/>
      <c r="D58"/>
      <c r="E58" s="118" t="s">
        <v>46</v>
      </c>
      <c r="F58" s="117">
        <v>0</v>
      </c>
      <c r="G58"/>
      <c r="H58" s="96"/>
      <c r="I58" s="219"/>
      <c r="J58" s="13"/>
      <c r="L58" s="83"/>
      <c r="M58" s="228"/>
    </row>
    <row r="59" spans="2:13">
      <c r="E59" s="82"/>
      <c r="F59" s="117">
        <v>0</v>
      </c>
      <c r="H59" s="61"/>
      <c r="I59" s="61"/>
      <c r="J59" s="13"/>
      <c r="K59" s="61"/>
      <c r="L59" s="61"/>
      <c r="M59" s="61"/>
    </row>
    <row r="60" spans="2:13">
      <c r="E60" s="118" t="s">
        <v>47</v>
      </c>
      <c r="F60" s="120">
        <f>SUM(F55:F59)</f>
        <v>588800</v>
      </c>
      <c r="H60" s="61"/>
      <c r="I60" s="61"/>
      <c r="J60" s="13"/>
      <c r="K60" s="61"/>
      <c r="L60" s="61"/>
      <c r="M60" s="61"/>
    </row>
    <row r="61" spans="2:13">
      <c r="D61" s="247" t="s">
        <v>192</v>
      </c>
      <c r="E61" s="8"/>
      <c r="F61" s="80"/>
    </row>
    <row r="62" spans="2:13">
      <c r="D62" s="247" t="s">
        <v>194</v>
      </c>
      <c r="E62" s="8"/>
      <c r="F62" s="120">
        <f>F53-F60</f>
        <v>689726.40000000037</v>
      </c>
      <c r="G62" s="8"/>
    </row>
    <row r="63" spans="2:13">
      <c r="D63" s="8" t="s">
        <v>9</v>
      </c>
      <c r="E63" s="8"/>
      <c r="F63" s="220"/>
      <c r="G63" s="8"/>
    </row>
    <row r="64" spans="2:13">
      <c r="D64" s="8" t="s">
        <v>195</v>
      </c>
      <c r="E64" s="8"/>
      <c r="G64" s="8"/>
    </row>
    <row r="65" spans="1:7">
      <c r="D65" s="8" t="s">
        <v>188</v>
      </c>
      <c r="E65" s="247"/>
      <c r="G65" s="8"/>
    </row>
    <row r="66" spans="1:7">
      <c r="D66" s="8"/>
      <c r="E66" s="247"/>
      <c r="G66" s="124">
        <f>SUM(E72:F72)</f>
        <v>0</v>
      </c>
    </row>
    <row r="67" spans="1:7">
      <c r="E67" s="249"/>
      <c r="F67" s="275"/>
      <c r="G67" s="8"/>
    </row>
    <row r="68" spans="1:7">
      <c r="E68" s="249"/>
      <c r="F68" s="286"/>
    </row>
    <row r="69" spans="1:7">
      <c r="E69" s="249"/>
      <c r="F69" s="246"/>
    </row>
    <row r="70" spans="1:7">
      <c r="E70" s="124"/>
      <c r="F70" s="287"/>
    </row>
    <row r="71" spans="1:7">
      <c r="E71" s="8"/>
      <c r="F71" s="287"/>
    </row>
    <row r="72" spans="1:7">
      <c r="E72" s="8"/>
      <c r="F72" s="287"/>
    </row>
    <row r="73" spans="1:7">
      <c r="E73" s="8"/>
    </row>
    <row r="74" spans="1:7">
      <c r="A74" s="268"/>
      <c r="E74" s="8"/>
    </row>
    <row r="75" spans="1:7">
      <c r="B75" s="235"/>
      <c r="E75" s="8"/>
    </row>
    <row r="76" spans="1:7">
      <c r="E76" s="8"/>
    </row>
    <row r="77" spans="1:7">
      <c r="E77" s="293"/>
    </row>
    <row r="78" spans="1:7">
      <c r="C78" s="155"/>
      <c r="E78" s="8"/>
    </row>
    <row r="79" spans="1:7">
      <c r="E79" s="293"/>
    </row>
    <row r="80" spans="1:7">
      <c r="A80" s="269"/>
      <c r="C80" s="155"/>
      <c r="E80" s="8"/>
    </row>
    <row r="81" spans="1:5">
      <c r="E81" s="293"/>
    </row>
    <row r="82" spans="1:5">
      <c r="A82" s="269"/>
      <c r="C82" s="155"/>
      <c r="E82" s="8"/>
    </row>
    <row r="83" spans="1:5">
      <c r="E83" s="293"/>
    </row>
    <row r="84" spans="1:5">
      <c r="A84" s="269"/>
      <c r="C84" s="155"/>
      <c r="E84" s="8"/>
    </row>
    <row r="85" spans="1:5">
      <c r="E85" s="293"/>
    </row>
    <row r="86" spans="1:5">
      <c r="A86" s="269"/>
      <c r="C86" s="155"/>
      <c r="E86" s="8"/>
    </row>
    <row r="87" spans="1:5">
      <c r="E87" s="293"/>
    </row>
    <row r="88" spans="1:5">
      <c r="A88" s="269"/>
      <c r="C88" s="155"/>
      <c r="E88" s="8"/>
    </row>
    <row r="89" spans="1:5">
      <c r="E89" s="293"/>
    </row>
    <row r="90" spans="1:5">
      <c r="A90" s="269"/>
      <c r="C90" s="155"/>
      <c r="E90" s="8"/>
    </row>
    <row r="91" spans="1:5">
      <c r="E91" s="293"/>
    </row>
    <row r="92" spans="1:5">
      <c r="A92" s="269"/>
      <c r="C92" s="155"/>
      <c r="E92" s="8"/>
    </row>
    <row r="93" spans="1:5">
      <c r="E93" s="293"/>
    </row>
    <row r="94" spans="1:5">
      <c r="A94" s="269"/>
      <c r="C94" s="155"/>
      <c r="E94" s="8"/>
    </row>
    <row r="95" spans="1:5">
      <c r="E95" s="293"/>
    </row>
    <row r="96" spans="1:5">
      <c r="A96" s="269"/>
      <c r="C96" s="155"/>
      <c r="E96" s="8"/>
    </row>
    <row r="97" spans="1:5">
      <c r="E97" s="293"/>
    </row>
    <row r="98" spans="1:5">
      <c r="A98" s="269"/>
      <c r="C98" s="155"/>
      <c r="E98" s="8"/>
    </row>
    <row r="99" spans="1:5">
      <c r="E99" s="293"/>
    </row>
    <row r="100" spans="1:5">
      <c r="A100" s="269"/>
      <c r="C100" s="155"/>
      <c r="E100" s="8"/>
    </row>
    <row r="101" spans="1:5">
      <c r="E101" s="293"/>
    </row>
    <row r="102" spans="1:5">
      <c r="A102" s="269"/>
      <c r="C102" s="155"/>
      <c r="E102" s="8"/>
    </row>
    <row r="103" spans="1:5">
      <c r="E103" s="293"/>
    </row>
    <row r="104" spans="1:5">
      <c r="A104" s="269"/>
      <c r="C104" s="155"/>
      <c r="E104" s="8"/>
    </row>
    <row r="105" spans="1:5">
      <c r="E105" s="293"/>
    </row>
    <row r="106" spans="1:5">
      <c r="A106" s="269"/>
      <c r="C106" s="155"/>
      <c r="E106" s="8"/>
    </row>
    <row r="107" spans="1:5">
      <c r="E107" s="293"/>
    </row>
    <row r="108" spans="1:5">
      <c r="A108" s="269"/>
      <c r="C108" s="155"/>
      <c r="E108" s="8"/>
    </row>
    <row r="109" spans="1:5">
      <c r="E109" s="277"/>
    </row>
    <row r="110" spans="1:5">
      <c r="A110" s="269"/>
      <c r="C110" s="155"/>
      <c r="E110" s="79"/>
    </row>
    <row r="111" spans="1:5">
      <c r="E111" s="277"/>
    </row>
    <row r="112" spans="1:5">
      <c r="A112" s="269"/>
      <c r="C112" s="155"/>
      <c r="E112" s="79"/>
    </row>
    <row r="113" spans="1:5">
      <c r="E113" s="277"/>
    </row>
    <row r="114" spans="1:5">
      <c r="A114" s="269"/>
      <c r="C114" s="155"/>
      <c r="E114" s="79"/>
    </row>
    <row r="115" spans="1:5">
      <c r="E115" s="277"/>
    </row>
    <row r="116" spans="1:5">
      <c r="A116" s="269"/>
      <c r="C116" s="155"/>
      <c r="E116" s="79"/>
    </row>
    <row r="117" spans="1:5">
      <c r="E117" s="277"/>
    </row>
    <row r="118" spans="1:5">
      <c r="A118" s="269"/>
      <c r="C118" s="155"/>
      <c r="E118" s="79"/>
    </row>
    <row r="119" spans="1:5">
      <c r="E119" s="277"/>
    </row>
    <row r="120" spans="1:5">
      <c r="A120" s="269"/>
      <c r="C120" s="155"/>
      <c r="E120" s="79"/>
    </row>
    <row r="121" spans="1:5">
      <c r="E121" s="277"/>
    </row>
    <row r="122" spans="1:5">
      <c r="A122" s="269"/>
      <c r="C122" s="155"/>
    </row>
    <row r="123" spans="1:5">
      <c r="E123" s="155"/>
    </row>
    <row r="124" spans="1:5">
      <c r="A124" s="269"/>
      <c r="C124" s="155"/>
    </row>
    <row r="125" spans="1:5">
      <c r="E125" s="155"/>
    </row>
    <row r="126" spans="1:5">
      <c r="A126" s="269"/>
      <c r="C126" s="155"/>
    </row>
    <row r="127" spans="1:5">
      <c r="E127" s="155"/>
    </row>
    <row r="128" spans="1:5">
      <c r="A128" s="269"/>
      <c r="C128" s="155"/>
    </row>
    <row r="129" spans="1:5">
      <c r="E129" s="155"/>
    </row>
    <row r="130" spans="1:5">
      <c r="A130" s="269"/>
      <c r="C130" s="155"/>
    </row>
    <row r="131" spans="1:5">
      <c r="E131" s="155"/>
    </row>
    <row r="132" spans="1:5">
      <c r="A132" s="269"/>
      <c r="C132" s="155"/>
    </row>
    <row r="133" spans="1:5">
      <c r="E133" s="155"/>
    </row>
    <row r="134" spans="1:5">
      <c r="A134" s="269"/>
      <c r="C134" s="155"/>
    </row>
    <row r="135" spans="1:5">
      <c r="E135" s="155"/>
    </row>
    <row r="136" spans="1:5">
      <c r="A136" s="269"/>
      <c r="C136" s="155"/>
    </row>
    <row r="137" spans="1:5">
      <c r="E137" s="155"/>
    </row>
    <row r="138" spans="1:5">
      <c r="A138" s="269"/>
      <c r="C138" s="155"/>
    </row>
    <row r="139" spans="1:5">
      <c r="E139" s="155"/>
    </row>
    <row r="140" spans="1:5">
      <c r="A140" s="269"/>
      <c r="C140" s="155"/>
    </row>
    <row r="141" spans="1:5">
      <c r="E141" s="155"/>
    </row>
    <row r="142" spans="1:5">
      <c r="A142" s="269"/>
      <c r="C142" s="155"/>
    </row>
    <row r="143" spans="1:5">
      <c r="E143" s="155"/>
    </row>
    <row r="144" spans="1:5">
      <c r="A144" s="269"/>
      <c r="C144" s="155"/>
    </row>
    <row r="145" spans="1:5">
      <c r="E145" s="155"/>
    </row>
    <row r="146" spans="1:5">
      <c r="A146" s="269"/>
      <c r="C146" s="155"/>
    </row>
    <row r="147" spans="1:5">
      <c r="E147" s="155"/>
    </row>
    <row r="148" spans="1:5">
      <c r="A148" s="269"/>
      <c r="C148" s="155"/>
    </row>
    <row r="149" spans="1:5">
      <c r="E149" s="155"/>
    </row>
    <row r="150" spans="1:5">
      <c r="A150" s="269"/>
      <c r="C150" s="155"/>
    </row>
    <row r="151" spans="1:5">
      <c r="E151" s="155"/>
    </row>
    <row r="152" spans="1:5">
      <c r="A152" s="269"/>
      <c r="C152" s="155"/>
    </row>
    <row r="153" spans="1:5">
      <c r="E153" s="155"/>
    </row>
    <row r="154" spans="1:5">
      <c r="A154" s="269"/>
      <c r="C154" s="155"/>
    </row>
    <row r="155" spans="1:5">
      <c r="E155" s="155"/>
    </row>
    <row r="156" spans="1:5">
      <c r="A156" s="269"/>
      <c r="C156" s="155"/>
    </row>
    <row r="157" spans="1:5">
      <c r="E157" s="155"/>
    </row>
    <row r="158" spans="1:5">
      <c r="A158" s="269"/>
      <c r="C158" s="155"/>
    </row>
    <row r="159" spans="1:5">
      <c r="E159" s="155"/>
    </row>
    <row r="160" spans="1:5">
      <c r="A160" s="269"/>
      <c r="C160" s="155"/>
    </row>
    <row r="161" spans="1:5">
      <c r="E161" s="155"/>
    </row>
    <row r="162" spans="1:5">
      <c r="A162" s="269"/>
      <c r="C162" s="155"/>
    </row>
    <row r="163" spans="1:5">
      <c r="E163" s="155"/>
    </row>
    <row r="164" spans="1:5">
      <c r="A164" s="269"/>
      <c r="C164" s="155"/>
    </row>
    <row r="165" spans="1:5">
      <c r="E165" s="155"/>
    </row>
    <row r="166" spans="1:5">
      <c r="A166" s="269"/>
      <c r="C166" s="155"/>
    </row>
    <row r="167" spans="1:5">
      <c r="E167" s="155"/>
    </row>
    <row r="168" spans="1:5">
      <c r="A168" s="269"/>
      <c r="C168" s="155"/>
    </row>
    <row r="169" spans="1:5">
      <c r="E169" s="155"/>
    </row>
    <row r="170" spans="1:5">
      <c r="A170" s="269"/>
      <c r="C170" s="155"/>
    </row>
    <row r="171" spans="1:5">
      <c r="E171" s="155"/>
    </row>
    <row r="172" spans="1:5">
      <c r="A172" s="269"/>
      <c r="C172" s="155"/>
    </row>
    <row r="173" spans="1:5">
      <c r="E173" s="155"/>
    </row>
    <row r="174" spans="1:5">
      <c r="A174" s="269"/>
      <c r="C174" s="155"/>
    </row>
    <row r="175" spans="1:5">
      <c r="E175" s="155"/>
    </row>
    <row r="176" spans="1:5">
      <c r="A176" s="269"/>
      <c r="C176" s="155"/>
    </row>
    <row r="177" spans="1:5">
      <c r="E177" s="155"/>
    </row>
    <row r="178" spans="1:5">
      <c r="A178" s="269"/>
      <c r="C178" s="155"/>
    </row>
    <row r="179" spans="1:5">
      <c r="E179" s="155"/>
    </row>
    <row r="180" spans="1:5">
      <c r="A180" s="269"/>
      <c r="C180" s="155"/>
    </row>
    <row r="181" spans="1:5">
      <c r="E181" s="155"/>
    </row>
    <row r="182" spans="1:5">
      <c r="A182" s="269"/>
      <c r="C182" s="155"/>
    </row>
    <row r="183" spans="1:5">
      <c r="E183" s="155"/>
    </row>
    <row r="184" spans="1:5">
      <c r="A184" s="269"/>
      <c r="C184" s="155"/>
    </row>
    <row r="185" spans="1:5">
      <c r="E185" s="155"/>
    </row>
    <row r="186" spans="1:5">
      <c r="A186" s="269"/>
      <c r="C186" s="155"/>
    </row>
    <row r="187" spans="1:5">
      <c r="E187" s="155"/>
    </row>
    <row r="188" spans="1:5">
      <c r="A188" s="269"/>
      <c r="C188" s="155"/>
    </row>
    <row r="189" spans="1:5">
      <c r="E189" s="155"/>
    </row>
    <row r="190" spans="1:5">
      <c r="A190" s="269"/>
      <c r="C190" s="155"/>
    </row>
    <row r="191" spans="1:5">
      <c r="E191" s="155"/>
    </row>
    <row r="192" spans="1:5">
      <c r="A192" s="269"/>
      <c r="C192" s="155"/>
    </row>
    <row r="193" spans="1:5">
      <c r="E193" s="155"/>
    </row>
    <row r="194" spans="1:5">
      <c r="A194" s="269"/>
      <c r="C194" s="155"/>
    </row>
    <row r="195" spans="1:5">
      <c r="E195" s="155"/>
    </row>
    <row r="196" spans="1:5">
      <c r="A196" s="269"/>
      <c r="C196" s="155"/>
    </row>
    <row r="197" spans="1:5">
      <c r="E197" s="155"/>
    </row>
    <row r="198" spans="1:5">
      <c r="A198" s="269"/>
      <c r="D198" s="155"/>
    </row>
    <row r="199" spans="1:5">
      <c r="E199" s="155"/>
    </row>
    <row r="200" spans="1:5">
      <c r="A200" s="269"/>
      <c r="C200" s="155"/>
    </row>
    <row r="201" spans="1:5">
      <c r="E201" s="155"/>
    </row>
    <row r="202" spans="1:5">
      <c r="A202" s="269"/>
      <c r="C202" s="155"/>
    </row>
    <row r="203" spans="1:5">
      <c r="E203" s="155"/>
    </row>
    <row r="204" spans="1:5">
      <c r="A204" s="269"/>
      <c r="C204" s="155"/>
    </row>
    <row r="205" spans="1:5">
      <c r="E205" s="155"/>
    </row>
    <row r="206" spans="1:5">
      <c r="A206" s="269"/>
      <c r="C206" s="155"/>
    </row>
    <row r="207" spans="1:5">
      <c r="E207" s="155"/>
    </row>
    <row r="208" spans="1:5">
      <c r="A208" s="269"/>
      <c r="C208" s="155"/>
    </row>
    <row r="210" spans="1:1">
      <c r="A210" s="269"/>
    </row>
  </sheetData>
  <mergeCells count="15">
    <mergeCell ref="B15:D15"/>
    <mergeCell ref="G15:H15"/>
    <mergeCell ref="J15:K15"/>
    <mergeCell ref="E10:F10"/>
    <mergeCell ref="B12:D12"/>
    <mergeCell ref="B13:D13"/>
    <mergeCell ref="B14:D14"/>
    <mergeCell ref="G14:K14"/>
    <mergeCell ref="B29:D29"/>
    <mergeCell ref="B17:D17"/>
    <mergeCell ref="B18:D18"/>
    <mergeCell ref="G21:H21"/>
    <mergeCell ref="G25:K25"/>
    <mergeCell ref="G27:H27"/>
    <mergeCell ref="B28:D28"/>
  </mergeCells>
  <pageMargins left="0.7" right="0.7" top="0.75" bottom="0.75" header="0.3" footer="0.3"/>
  <pageSetup orientation="portrait" verticalDpi="0" r:id="rId1"/>
  <ignoredErrors>
    <ignoredError sqref="E19" formulaRange="1"/>
  </ignoredErrors>
  <drawing r:id="rId2"/>
  <legacyDrawing r:id="rId3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8B120-98B2-42DB-A714-3E699849E8A6}">
  <dimension ref="A6:R210"/>
  <sheetViews>
    <sheetView showGridLines="0" workbookViewId="0">
      <selection activeCell="B9" sqref="B9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7.5">
      <c r="A12" s="11"/>
      <c r="B12" s="334" t="s">
        <v>3</v>
      </c>
      <c r="C12" s="335"/>
      <c r="D12" s="336"/>
      <c r="E12" s="17">
        <f>SUM(E13:E15)</f>
        <v>2833282.71</v>
      </c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337" t="s">
        <v>5</v>
      </c>
      <c r="C13" s="338"/>
      <c r="D13" s="339"/>
      <c r="E13" s="20">
        <f>J16+J17+J18+J19</f>
        <v>2700395.27</v>
      </c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49" t="s">
        <v>7</v>
      </c>
      <c r="C14" s="350"/>
      <c r="D14" s="351"/>
      <c r="E14" s="20">
        <f>G22+G23</f>
        <v>43508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52" t="s">
        <v>6</v>
      </c>
      <c r="C15" s="353"/>
      <c r="D15" s="354"/>
      <c r="E15" s="28">
        <f>G16+G17+G18</f>
        <v>89379.44</v>
      </c>
      <c r="F15" s="153">
        <f>E13+E14+E15</f>
        <v>2833282.71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236" t="s">
        <v>187</v>
      </c>
      <c r="C16" s="237"/>
      <c r="D16" s="238"/>
      <c r="E16" s="28">
        <f>+J22</f>
        <v>11107</v>
      </c>
      <c r="F16" s="153">
        <v>90000</v>
      </c>
      <c r="G16" s="22">
        <v>11279.9</v>
      </c>
      <c r="H16" s="23" t="s">
        <v>8</v>
      </c>
      <c r="I16" s="24"/>
      <c r="J16" s="25">
        <v>14843.13</v>
      </c>
      <c r="K16" s="26" t="s">
        <v>9</v>
      </c>
      <c r="L16" s="13"/>
      <c r="N16" s="3"/>
    </row>
    <row r="17" spans="2:18">
      <c r="B17" s="379" t="s">
        <v>11</v>
      </c>
      <c r="C17" s="380"/>
      <c r="D17" s="381"/>
      <c r="E17" s="20">
        <f>G29+G31+G30+G28</f>
        <v>14118.849999999999</v>
      </c>
      <c r="F17" s="153">
        <f>+F15-F16</f>
        <v>2743282.71</v>
      </c>
      <c r="G17" s="22">
        <v>12605.17</v>
      </c>
      <c r="H17" s="29" t="s">
        <v>10</v>
      </c>
      <c r="I17" s="30"/>
      <c r="J17" s="25">
        <v>16732.62</v>
      </c>
      <c r="K17" s="31" t="s">
        <v>10</v>
      </c>
      <c r="N17" s="3"/>
    </row>
    <row r="18" spans="2:18">
      <c r="B18" s="344" t="s">
        <v>13</v>
      </c>
      <c r="C18" s="345"/>
      <c r="D18" s="346"/>
      <c r="E18" s="20">
        <v>16173913.970000001</v>
      </c>
      <c r="F18" s="153"/>
      <c r="G18" s="22">
        <v>65494.37</v>
      </c>
      <c r="H18" s="29" t="s">
        <v>12</v>
      </c>
      <c r="I18" s="30"/>
      <c r="J18" s="25">
        <v>2657888.2400000002</v>
      </c>
      <c r="K18" s="31" t="s">
        <v>12</v>
      </c>
      <c r="L18" s="152"/>
      <c r="N18" s="3"/>
    </row>
    <row r="19" spans="2:18">
      <c r="B19" s="187" t="s">
        <v>15</v>
      </c>
      <c r="C19" s="188"/>
      <c r="D19" s="189"/>
      <c r="E19" s="190">
        <f>SUM(E20:E22)</f>
        <v>46519.67</v>
      </c>
      <c r="F19" s="153"/>
      <c r="G19" s="33"/>
      <c r="H19" s="34"/>
      <c r="I19" s="30"/>
      <c r="J19" s="25">
        <v>10931.28</v>
      </c>
      <c r="K19" s="31" t="s">
        <v>14</v>
      </c>
      <c r="L19" s="294"/>
      <c r="M19" s="294"/>
      <c r="N19" s="268"/>
    </row>
    <row r="20" spans="2:18">
      <c r="B20" s="187"/>
      <c r="C20" s="188"/>
      <c r="D20" s="198" t="s">
        <v>367</v>
      </c>
      <c r="E20" s="190">
        <v>3654</v>
      </c>
      <c r="F20" s="153"/>
      <c r="G20" s="239"/>
      <c r="H20" s="240"/>
      <c r="I20" s="30"/>
      <c r="J20" s="25"/>
      <c r="K20" s="31"/>
      <c r="L20" s="294"/>
      <c r="M20" s="294"/>
    </row>
    <row r="21" spans="2:18">
      <c r="B21" s="187"/>
      <c r="C21" s="188"/>
      <c r="D21" s="198" t="s">
        <v>93</v>
      </c>
      <c r="E21" s="190">
        <v>42865.67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</row>
    <row r="22" spans="2:18">
      <c r="B22" s="187"/>
      <c r="C22" s="188"/>
      <c r="D22" s="198"/>
      <c r="E22" s="190">
        <v>0</v>
      </c>
      <c r="F22" s="153"/>
      <c r="G22" s="44">
        <v>17295.04</v>
      </c>
      <c r="H22" s="29" t="s">
        <v>10</v>
      </c>
      <c r="I22" s="30"/>
      <c r="J22" s="25">
        <v>11107</v>
      </c>
      <c r="K22" s="31" t="s">
        <v>188</v>
      </c>
      <c r="L22" s="294"/>
      <c r="M22" s="294"/>
      <c r="O22" s="235"/>
    </row>
    <row r="23" spans="2:18">
      <c r="B23" s="46" t="s">
        <v>17</v>
      </c>
      <c r="C23" s="47"/>
      <c r="D23" s="48"/>
      <c r="E23" s="234">
        <v>2028</v>
      </c>
      <c r="F23" s="153"/>
      <c r="G23" s="44">
        <v>26212.959999999999</v>
      </c>
      <c r="H23" s="29" t="s">
        <v>18</v>
      </c>
      <c r="I23" s="30"/>
      <c r="J23" s="25"/>
      <c r="K23" s="31"/>
    </row>
    <row r="24" spans="2:18" ht="15" thickBot="1">
      <c r="B24" s="202" t="s">
        <v>58</v>
      </c>
      <c r="C24" s="203"/>
      <c r="D24" s="204"/>
      <c r="E24" s="234">
        <v>0</v>
      </c>
      <c r="F24" s="220"/>
      <c r="G24" s="51"/>
      <c r="H24" s="34"/>
      <c r="I24" s="30"/>
      <c r="J24" s="210"/>
      <c r="K24" s="53"/>
      <c r="N24" s="290"/>
    </row>
    <row r="25" spans="2:18" ht="15" thickBot="1">
      <c r="B25" s="199" t="s">
        <v>22</v>
      </c>
      <c r="C25" s="200"/>
      <c r="D25" s="201"/>
      <c r="E25" s="234">
        <v>0</v>
      </c>
      <c r="F25" s="153">
        <f>+F17-E23</f>
        <v>2741254.71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199" t="s">
        <v>366</v>
      </c>
      <c r="C26" s="200"/>
      <c r="D26" s="201"/>
      <c r="E26" s="234">
        <f>5867+1063184</f>
        <v>1069051</v>
      </c>
      <c r="F26" s="288">
        <f>SUM(E23:E29)</f>
        <v>1071079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80</v>
      </c>
      <c r="C27" s="200"/>
      <c r="D27" s="201"/>
      <c r="E27" s="49">
        <v>0</v>
      </c>
      <c r="F27" s="153">
        <f>+F25-F26</f>
        <v>1670175.71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344" t="s">
        <v>69</v>
      </c>
      <c r="C28" s="345"/>
      <c r="D28" s="346"/>
      <c r="E28" s="49">
        <v>0</v>
      </c>
      <c r="F28" s="221"/>
      <c r="G28" s="22">
        <v>4151.45</v>
      </c>
      <c r="H28" s="62" t="s">
        <v>9</v>
      </c>
      <c r="I28" s="59"/>
      <c r="J28" s="60"/>
      <c r="K28" s="45"/>
      <c r="N28" s="269"/>
      <c r="P28" s="155"/>
      <c r="R28" s="155"/>
    </row>
    <row r="29" spans="2:18" ht="15" thickBot="1">
      <c r="B29" s="363" t="s">
        <v>29</v>
      </c>
      <c r="C29" s="364"/>
      <c r="D29" s="365"/>
      <c r="E29" s="66">
        <v>0</v>
      </c>
      <c r="F29" s="220"/>
      <c r="G29" s="22">
        <v>974</v>
      </c>
      <c r="H29" s="62" t="s">
        <v>26</v>
      </c>
      <c r="I29" s="63"/>
      <c r="J29" s="64" t="s">
        <v>27</v>
      </c>
      <c r="K29" s="65" t="s">
        <v>28</v>
      </c>
    </row>
    <row r="30" spans="2:18">
      <c r="E30" s="79"/>
      <c r="F30" s="220"/>
      <c r="G30" s="67">
        <v>1767.69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E31" s="79"/>
      <c r="F31" s="220"/>
      <c r="G31" s="71">
        <v>7225.71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79"/>
      <c r="F32" s="220"/>
      <c r="N32" s="269"/>
      <c r="P32" s="155"/>
      <c r="R32" s="155"/>
    </row>
    <row r="33" spans="2:18">
      <c r="E33" s="79"/>
      <c r="F33" s="220"/>
    </row>
    <row r="34" spans="2:18">
      <c r="B34" s="61"/>
      <c r="C34" s="61"/>
      <c r="D34" s="61"/>
      <c r="E34" s="181" t="s">
        <v>354</v>
      </c>
      <c r="F34" s="220"/>
      <c r="H34" s="61"/>
      <c r="I34" s="61"/>
      <c r="J34" s="13"/>
      <c r="K34" s="61"/>
      <c r="L34" s="61"/>
      <c r="M34" s="61"/>
      <c r="N34" s="269"/>
      <c r="P34" s="155"/>
      <c r="R34" s="155"/>
    </row>
    <row r="35" spans="2:18">
      <c r="B35" s="61"/>
      <c r="C35" s="61"/>
      <c r="D35" s="61"/>
      <c r="E35" s="181"/>
      <c r="F35" s="220"/>
      <c r="H35" s="61"/>
      <c r="I35" s="61"/>
      <c r="J35" s="13"/>
      <c r="K35" s="61"/>
      <c r="L35" s="61"/>
      <c r="M35" s="61"/>
    </row>
    <row r="36" spans="2:18" s="61" customFormat="1" ht="15" customHeight="1">
      <c r="E36" s="8" t="s">
        <v>34</v>
      </c>
      <c r="F36" s="222"/>
      <c r="G36" s="8"/>
      <c r="H36" s="13"/>
      <c r="J36" s="13"/>
      <c r="K36" s="83"/>
      <c r="L36" s="88"/>
      <c r="N36" s="272"/>
      <c r="P36" s="273"/>
      <c r="R36" s="273"/>
    </row>
    <row r="37" spans="2:18" s="61" customFormat="1" ht="15" customHeight="1">
      <c r="E37" s="8" t="s">
        <v>35</v>
      </c>
      <c r="F37" s="222"/>
      <c r="G37" s="181"/>
      <c r="H37" s="161"/>
      <c r="I37" s="197"/>
      <c r="J37" s="13"/>
      <c r="K37" s="83"/>
      <c r="L37" s="161"/>
      <c r="M37" s="197"/>
    </row>
    <row r="38" spans="2:18" s="61" customFormat="1" ht="15" customHeight="1">
      <c r="E38" s="8" t="s">
        <v>36</v>
      </c>
      <c r="F38" s="222">
        <f>F17</f>
        <v>2743282.71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2:18" s="61" customFormat="1" ht="15" customHeight="1">
      <c r="E39" s="8" t="s">
        <v>37</v>
      </c>
      <c r="F39" s="222">
        <f>+E17</f>
        <v>14118.849999999999</v>
      </c>
      <c r="G39" s="86"/>
      <c r="I39" s="197"/>
      <c r="J39" s="13"/>
      <c r="K39" s="85"/>
      <c r="M39" s="197"/>
    </row>
    <row r="40" spans="2:18" s="61" customFormat="1" ht="15" customHeight="1">
      <c r="E40" s="182" t="s">
        <v>38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2:18" s="61" customFormat="1" ht="15" customHeight="1">
      <c r="E41" s="183"/>
      <c r="F41" s="222">
        <v>0</v>
      </c>
      <c r="G41" s="9"/>
      <c r="I41" s="197"/>
      <c r="J41" s="13"/>
      <c r="M41" s="197"/>
    </row>
    <row r="42" spans="2:18" s="61" customFormat="1" ht="15" customHeight="1">
      <c r="E42" s="183" t="s">
        <v>152</v>
      </c>
      <c r="F42" s="223">
        <f>SUM(F38:F41)</f>
        <v>2757401.56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183" t="s">
        <v>355</v>
      </c>
      <c r="F43" s="224"/>
      <c r="G43" s="9"/>
      <c r="H43" s="163"/>
      <c r="I43" s="229"/>
      <c r="J43" s="13"/>
      <c r="L43" s="163"/>
      <c r="M43" s="229"/>
    </row>
    <row r="44" spans="2:18" s="61" customFormat="1" ht="15" customHeight="1">
      <c r="E44" s="183" t="s">
        <v>356</v>
      </c>
      <c r="F44" s="224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2:18" s="61" customFormat="1" ht="15" customHeight="1">
      <c r="E45" s="183" t="s">
        <v>64</v>
      </c>
      <c r="F45" s="224">
        <v>1300000</v>
      </c>
      <c r="G45" s="9"/>
      <c r="H45" s="165"/>
      <c r="I45" s="230"/>
      <c r="J45" s="13"/>
    </row>
    <row r="46" spans="2:18" s="61" customFormat="1" ht="15" customHeight="1">
      <c r="E46" s="183" t="s">
        <v>69</v>
      </c>
      <c r="F46" s="224">
        <v>120000</v>
      </c>
      <c r="G46" s="9"/>
      <c r="H46" s="165"/>
      <c r="I46" s="230"/>
      <c r="J46" s="13"/>
    </row>
    <row r="47" spans="2:18" s="61" customFormat="1" ht="15" customHeight="1">
      <c r="E47" s="116" t="s">
        <v>24</v>
      </c>
      <c r="F47" s="224">
        <v>0</v>
      </c>
      <c r="G47" s="9"/>
      <c r="H47" s="165"/>
      <c r="I47" s="230"/>
      <c r="J47" s="13"/>
    </row>
    <row r="48" spans="2:18" s="61" customFormat="1" ht="15" customHeight="1">
      <c r="E48" s="116" t="s">
        <v>22</v>
      </c>
      <c r="F48" s="224">
        <v>60000</v>
      </c>
      <c r="G48" s="9"/>
      <c r="H48" s="165"/>
      <c r="I48" s="230"/>
      <c r="J48" s="13"/>
    </row>
    <row r="49" spans="2:13" s="61" customFormat="1" ht="15" customHeight="1">
      <c r="E49" s="116" t="s">
        <v>40</v>
      </c>
      <c r="F49" s="220">
        <v>0</v>
      </c>
      <c r="G49" s="9"/>
      <c r="H49" s="165"/>
      <c r="I49" s="230"/>
      <c r="J49" s="13"/>
    </row>
    <row r="50" spans="2:13" s="61" customFormat="1">
      <c r="E50" s="118" t="s">
        <v>41</v>
      </c>
      <c r="F50" s="220">
        <v>50000</v>
      </c>
      <c r="G50" s="8"/>
      <c r="H50" s="91"/>
      <c r="I50" s="231"/>
      <c r="J50" s="13"/>
    </row>
    <row r="51" spans="2:13" s="61" customFormat="1">
      <c r="E51" s="118" t="s">
        <v>42</v>
      </c>
      <c r="F51" s="226">
        <f>200000-90000-60000</f>
        <v>50000</v>
      </c>
      <c r="G51" s="8"/>
      <c r="H51" s="96"/>
      <c r="I51" s="231"/>
      <c r="J51" s="262"/>
    </row>
    <row r="52" spans="2:13" s="61" customFormat="1">
      <c r="E52" s="8"/>
      <c r="F52" s="225">
        <f>SUM(F44:F51)</f>
        <v>1705000</v>
      </c>
      <c r="G52" s="82"/>
      <c r="H52" s="83"/>
      <c r="I52" s="228"/>
      <c r="J52" s="13"/>
    </row>
    <row r="53" spans="2:13" s="61" customFormat="1">
      <c r="E53" s="82" t="s">
        <v>43</v>
      </c>
      <c r="F53" s="225">
        <f>F42-F52</f>
        <v>1052401.56</v>
      </c>
      <c r="G53" s="82"/>
      <c r="H53" s="83"/>
      <c r="I53" s="233"/>
      <c r="J53" s="13"/>
      <c r="L53" s="91"/>
      <c r="M53" s="232"/>
    </row>
    <row r="54" spans="2:13" s="61" customFormat="1">
      <c r="E54" s="82" t="s">
        <v>44</v>
      </c>
      <c r="F54" s="154"/>
      <c r="G54" s="82"/>
      <c r="H54" s="83"/>
      <c r="I54" s="233"/>
      <c r="J54" s="13"/>
      <c r="L54" s="91"/>
      <c r="M54" s="232"/>
    </row>
    <row r="55" spans="2:13" s="61" customFormat="1">
      <c r="E55" s="82" t="s">
        <v>45</v>
      </c>
      <c r="F55" s="80">
        <f>43800+180000</f>
        <v>223800</v>
      </c>
      <c r="G55" s="82"/>
      <c r="H55" s="83"/>
      <c r="I55" s="233"/>
      <c r="J55" s="13"/>
      <c r="L55" s="96"/>
      <c r="M55" s="231"/>
    </row>
    <row r="56" spans="2:13" s="61" customFormat="1">
      <c r="E56" s="82" t="s">
        <v>205</v>
      </c>
      <c r="F56" s="80">
        <v>365000</v>
      </c>
      <c r="G56" s="82"/>
      <c r="H56" s="96"/>
      <c r="I56" s="228"/>
      <c r="J56" s="13"/>
      <c r="L56" s="96"/>
      <c r="M56" s="233"/>
    </row>
    <row r="57" spans="2:13" s="61" customFormat="1">
      <c r="B57"/>
      <c r="C57"/>
      <c r="D57"/>
      <c r="E57" s="82" t="s">
        <v>206</v>
      </c>
      <c r="F57" s="117">
        <v>0</v>
      </c>
      <c r="G57" s="82"/>
      <c r="H57" s="83"/>
      <c r="I57" s="233"/>
      <c r="J57" s="13"/>
    </row>
    <row r="58" spans="2:13" s="61" customFormat="1">
      <c r="B58"/>
      <c r="C58"/>
      <c r="D58"/>
      <c r="E58" s="118" t="s">
        <v>46</v>
      </c>
      <c r="F58" s="117">
        <v>0</v>
      </c>
      <c r="G58"/>
      <c r="H58" s="96"/>
      <c r="I58" s="219"/>
      <c r="J58" s="13"/>
      <c r="L58" s="83"/>
      <c r="M58" s="228"/>
    </row>
    <row r="59" spans="2:13">
      <c r="E59" s="82"/>
      <c r="F59" s="117">
        <v>0</v>
      </c>
      <c r="H59" s="61"/>
      <c r="I59" s="61"/>
      <c r="J59" s="13"/>
      <c r="K59" s="61"/>
      <c r="L59" s="61"/>
      <c r="M59" s="61"/>
    </row>
    <row r="60" spans="2:13">
      <c r="E60" s="118" t="s">
        <v>47</v>
      </c>
      <c r="F60" s="120">
        <f>SUM(F55:F59)</f>
        <v>588800</v>
      </c>
      <c r="H60" s="61"/>
      <c r="I60" s="61"/>
      <c r="J60" s="13"/>
      <c r="K60" s="61"/>
      <c r="L60" s="61"/>
      <c r="M60" s="61"/>
    </row>
    <row r="61" spans="2:13">
      <c r="D61" s="247" t="s">
        <v>192</v>
      </c>
      <c r="E61" s="8"/>
      <c r="F61" s="80"/>
    </row>
    <row r="62" spans="2:13">
      <c r="D62" s="247" t="s">
        <v>194</v>
      </c>
      <c r="E62" s="8"/>
      <c r="F62" s="120">
        <f>F53-F60</f>
        <v>463601.56000000006</v>
      </c>
      <c r="G62" s="8"/>
    </row>
    <row r="63" spans="2:13">
      <c r="D63" s="8" t="s">
        <v>9</v>
      </c>
      <c r="E63" s="8"/>
      <c r="F63" s="220"/>
      <c r="G63" s="8"/>
    </row>
    <row r="64" spans="2:13">
      <c r="D64" s="8" t="s">
        <v>195</v>
      </c>
      <c r="E64" s="8"/>
      <c r="G64" s="8"/>
    </row>
    <row r="65" spans="1:7">
      <c r="D65" s="8" t="s">
        <v>188</v>
      </c>
      <c r="E65" s="247"/>
      <c r="G65" s="8"/>
    </row>
    <row r="66" spans="1:7">
      <c r="D66" s="8"/>
      <c r="E66" s="247"/>
      <c r="G66" s="124">
        <f>SUM(E72:F72)</f>
        <v>0</v>
      </c>
    </row>
    <row r="67" spans="1:7">
      <c r="E67" s="249"/>
      <c r="F67" s="275"/>
      <c r="G67" s="8"/>
    </row>
    <row r="68" spans="1:7">
      <c r="E68" s="249"/>
      <c r="F68" s="286"/>
    </row>
    <row r="69" spans="1:7">
      <c r="E69" s="249"/>
      <c r="F69" s="246"/>
    </row>
    <row r="70" spans="1:7">
      <c r="E70" s="124"/>
      <c r="F70" s="287"/>
    </row>
    <row r="71" spans="1:7">
      <c r="E71" s="8"/>
      <c r="F71" s="287"/>
    </row>
    <row r="72" spans="1:7">
      <c r="E72" s="8"/>
      <c r="F72" s="287"/>
    </row>
    <row r="73" spans="1:7">
      <c r="E73" s="8"/>
    </row>
    <row r="74" spans="1:7">
      <c r="A74" s="268"/>
      <c r="E74" s="8"/>
    </row>
    <row r="75" spans="1:7">
      <c r="B75" s="235"/>
      <c r="E75" s="8"/>
    </row>
    <row r="76" spans="1:7">
      <c r="E76" s="8"/>
    </row>
    <row r="77" spans="1:7">
      <c r="E77" s="293"/>
    </row>
    <row r="78" spans="1:7">
      <c r="C78" s="155"/>
      <c r="E78" s="8"/>
    </row>
    <row r="79" spans="1:7">
      <c r="E79" s="293"/>
    </row>
    <row r="80" spans="1:7">
      <c r="A80" s="269"/>
      <c r="C80" s="155"/>
      <c r="E80" s="8"/>
    </row>
    <row r="81" spans="1:5">
      <c r="E81" s="293"/>
    </row>
    <row r="82" spans="1:5">
      <c r="A82" s="269"/>
      <c r="C82" s="155"/>
      <c r="E82" s="8"/>
    </row>
    <row r="83" spans="1:5">
      <c r="E83" s="293"/>
    </row>
    <row r="84" spans="1:5">
      <c r="A84" s="269"/>
      <c r="C84" s="155"/>
      <c r="E84" s="8"/>
    </row>
    <row r="85" spans="1:5">
      <c r="E85" s="293"/>
    </row>
    <row r="86" spans="1:5">
      <c r="A86" s="269"/>
      <c r="C86" s="155"/>
      <c r="E86" s="8"/>
    </row>
    <row r="87" spans="1:5">
      <c r="E87" s="293"/>
    </row>
    <row r="88" spans="1:5">
      <c r="A88" s="269"/>
      <c r="C88" s="155"/>
      <c r="E88" s="8"/>
    </row>
    <row r="89" spans="1:5">
      <c r="E89" s="293"/>
    </row>
    <row r="90" spans="1:5">
      <c r="A90" s="269"/>
      <c r="C90" s="155"/>
      <c r="E90" s="8"/>
    </row>
    <row r="91" spans="1:5">
      <c r="E91" s="293"/>
    </row>
    <row r="92" spans="1:5">
      <c r="A92" s="269"/>
      <c r="C92" s="155"/>
      <c r="E92" s="8"/>
    </row>
    <row r="93" spans="1:5">
      <c r="E93" s="293"/>
    </row>
    <row r="94" spans="1:5">
      <c r="A94" s="269"/>
      <c r="C94" s="155"/>
      <c r="E94" s="8"/>
    </row>
    <row r="95" spans="1:5">
      <c r="E95" s="293"/>
    </row>
    <row r="96" spans="1:5">
      <c r="A96" s="269"/>
      <c r="C96" s="155"/>
      <c r="E96" s="8"/>
    </row>
    <row r="97" spans="1:5">
      <c r="E97" s="293"/>
    </row>
    <row r="98" spans="1:5">
      <c r="A98" s="269"/>
      <c r="C98" s="155"/>
      <c r="E98" s="8"/>
    </row>
    <row r="99" spans="1:5">
      <c r="E99" s="293"/>
    </row>
    <row r="100" spans="1:5">
      <c r="A100" s="269"/>
      <c r="C100" s="155"/>
      <c r="E100" s="8"/>
    </row>
    <row r="101" spans="1:5">
      <c r="E101" s="293"/>
    </row>
    <row r="102" spans="1:5">
      <c r="A102" s="269"/>
      <c r="C102" s="155"/>
      <c r="E102" s="8"/>
    </row>
    <row r="103" spans="1:5">
      <c r="E103" s="293"/>
    </row>
    <row r="104" spans="1:5">
      <c r="A104" s="269"/>
      <c r="C104" s="155"/>
      <c r="E104" s="8"/>
    </row>
    <row r="105" spans="1:5">
      <c r="E105" s="293"/>
    </row>
    <row r="106" spans="1:5">
      <c r="A106" s="269"/>
      <c r="C106" s="155"/>
      <c r="E106" s="8"/>
    </row>
    <row r="107" spans="1:5">
      <c r="E107" s="293"/>
    </row>
    <row r="108" spans="1:5">
      <c r="A108" s="269"/>
      <c r="C108" s="155"/>
      <c r="E108" s="8"/>
    </row>
    <row r="109" spans="1:5">
      <c r="E109" s="277"/>
    </row>
    <row r="110" spans="1:5">
      <c r="A110" s="269"/>
      <c r="C110" s="155"/>
      <c r="E110" s="79"/>
    </row>
    <row r="111" spans="1:5">
      <c r="E111" s="277"/>
    </row>
    <row r="112" spans="1:5">
      <c r="A112" s="269"/>
      <c r="C112" s="155"/>
      <c r="E112" s="79"/>
    </row>
    <row r="113" spans="1:5">
      <c r="E113" s="277"/>
    </row>
    <row r="114" spans="1:5">
      <c r="A114" s="269"/>
      <c r="C114" s="155"/>
      <c r="E114" s="79"/>
    </row>
    <row r="115" spans="1:5">
      <c r="E115" s="277"/>
    </row>
    <row r="116" spans="1:5">
      <c r="A116" s="269"/>
      <c r="C116" s="155"/>
      <c r="E116" s="79"/>
    </row>
    <row r="117" spans="1:5">
      <c r="E117" s="277"/>
    </row>
    <row r="118" spans="1:5">
      <c r="A118" s="269"/>
      <c r="C118" s="155"/>
      <c r="E118" s="79"/>
    </row>
    <row r="119" spans="1:5">
      <c r="E119" s="277"/>
    </row>
    <row r="120" spans="1:5">
      <c r="A120" s="269"/>
      <c r="C120" s="155"/>
      <c r="E120" s="79"/>
    </row>
    <row r="121" spans="1:5">
      <c r="E121" s="277"/>
    </row>
    <row r="122" spans="1:5">
      <c r="A122" s="269"/>
      <c r="C122" s="155"/>
    </row>
    <row r="123" spans="1:5">
      <c r="E123" s="155"/>
    </row>
    <row r="124" spans="1:5">
      <c r="A124" s="269"/>
      <c r="C124" s="155"/>
    </row>
    <row r="125" spans="1:5">
      <c r="E125" s="155"/>
    </row>
    <row r="126" spans="1:5">
      <c r="A126" s="269"/>
      <c r="C126" s="155"/>
    </row>
    <row r="127" spans="1:5">
      <c r="E127" s="155"/>
    </row>
    <row r="128" spans="1:5">
      <c r="A128" s="269"/>
      <c r="C128" s="155"/>
    </row>
    <row r="129" spans="1:5">
      <c r="E129" s="155"/>
    </row>
    <row r="130" spans="1:5">
      <c r="A130" s="269"/>
      <c r="C130" s="155"/>
    </row>
    <row r="131" spans="1:5">
      <c r="E131" s="155"/>
    </row>
    <row r="132" spans="1:5">
      <c r="A132" s="269"/>
      <c r="C132" s="155"/>
    </row>
    <row r="133" spans="1:5">
      <c r="E133" s="155"/>
    </row>
    <row r="134" spans="1:5">
      <c r="A134" s="269"/>
      <c r="C134" s="155"/>
    </row>
    <row r="135" spans="1:5">
      <c r="E135" s="155"/>
    </row>
    <row r="136" spans="1:5">
      <c r="A136" s="269"/>
      <c r="C136" s="155"/>
    </row>
    <row r="137" spans="1:5">
      <c r="E137" s="155"/>
    </row>
    <row r="138" spans="1:5">
      <c r="A138" s="269"/>
      <c r="C138" s="155"/>
    </row>
    <row r="139" spans="1:5">
      <c r="E139" s="155"/>
    </row>
    <row r="140" spans="1:5">
      <c r="A140" s="269"/>
      <c r="C140" s="155"/>
    </row>
    <row r="141" spans="1:5">
      <c r="E141" s="155"/>
    </row>
    <row r="142" spans="1:5">
      <c r="A142" s="269"/>
      <c r="C142" s="155"/>
    </row>
    <row r="143" spans="1:5">
      <c r="E143" s="155"/>
    </row>
    <row r="144" spans="1:5">
      <c r="A144" s="269"/>
      <c r="C144" s="155"/>
    </row>
    <row r="145" spans="1:5">
      <c r="E145" s="155"/>
    </row>
    <row r="146" spans="1:5">
      <c r="A146" s="269"/>
      <c r="C146" s="155"/>
    </row>
    <row r="147" spans="1:5">
      <c r="E147" s="155"/>
    </row>
    <row r="148" spans="1:5">
      <c r="A148" s="269"/>
      <c r="C148" s="155"/>
    </row>
    <row r="149" spans="1:5">
      <c r="E149" s="155"/>
    </row>
    <row r="150" spans="1:5">
      <c r="A150" s="269"/>
      <c r="C150" s="155"/>
    </row>
    <row r="151" spans="1:5">
      <c r="E151" s="155"/>
    </row>
    <row r="152" spans="1:5">
      <c r="A152" s="269"/>
      <c r="C152" s="155"/>
    </row>
    <row r="153" spans="1:5">
      <c r="E153" s="155"/>
    </row>
    <row r="154" spans="1:5">
      <c r="A154" s="269"/>
      <c r="C154" s="155"/>
    </row>
    <row r="155" spans="1:5">
      <c r="E155" s="155"/>
    </row>
    <row r="156" spans="1:5">
      <c r="A156" s="269"/>
      <c r="C156" s="155"/>
    </row>
    <row r="157" spans="1:5">
      <c r="E157" s="155"/>
    </row>
    <row r="158" spans="1:5">
      <c r="A158" s="269"/>
      <c r="C158" s="155"/>
    </row>
    <row r="159" spans="1:5">
      <c r="E159" s="155"/>
    </row>
    <row r="160" spans="1:5">
      <c r="A160" s="269"/>
      <c r="C160" s="155"/>
    </row>
    <row r="161" spans="1:5">
      <c r="E161" s="155"/>
    </row>
    <row r="162" spans="1:5">
      <c r="A162" s="269"/>
      <c r="C162" s="155"/>
    </row>
    <row r="163" spans="1:5">
      <c r="E163" s="155"/>
    </row>
    <row r="164" spans="1:5">
      <c r="A164" s="269"/>
      <c r="C164" s="155"/>
    </row>
    <row r="165" spans="1:5">
      <c r="E165" s="155"/>
    </row>
    <row r="166" spans="1:5">
      <c r="A166" s="269"/>
      <c r="C166" s="155"/>
    </row>
    <row r="167" spans="1:5">
      <c r="E167" s="155"/>
    </row>
    <row r="168" spans="1:5">
      <c r="A168" s="269"/>
      <c r="C168" s="155"/>
    </row>
    <row r="169" spans="1:5">
      <c r="E169" s="155"/>
    </row>
    <row r="170" spans="1:5">
      <c r="A170" s="269"/>
      <c r="C170" s="155"/>
    </row>
    <row r="171" spans="1:5">
      <c r="E171" s="155"/>
    </row>
    <row r="172" spans="1:5">
      <c r="A172" s="269"/>
      <c r="C172" s="155"/>
    </row>
    <row r="173" spans="1:5">
      <c r="E173" s="155"/>
    </row>
    <row r="174" spans="1:5">
      <c r="A174" s="269"/>
      <c r="C174" s="155"/>
    </row>
    <row r="175" spans="1:5">
      <c r="E175" s="155"/>
    </row>
    <row r="176" spans="1:5">
      <c r="A176" s="269"/>
      <c r="C176" s="155"/>
    </row>
    <row r="177" spans="1:5">
      <c r="E177" s="155"/>
    </row>
    <row r="178" spans="1:5">
      <c r="A178" s="269"/>
      <c r="C178" s="155"/>
    </row>
    <row r="179" spans="1:5">
      <c r="E179" s="155"/>
    </row>
    <row r="180" spans="1:5">
      <c r="A180" s="269"/>
      <c r="C180" s="155"/>
    </row>
    <row r="181" spans="1:5">
      <c r="E181" s="155"/>
    </row>
    <row r="182" spans="1:5">
      <c r="A182" s="269"/>
      <c r="C182" s="155"/>
    </row>
    <row r="183" spans="1:5">
      <c r="E183" s="155"/>
    </row>
    <row r="184" spans="1:5">
      <c r="A184" s="269"/>
      <c r="C184" s="155"/>
    </row>
    <row r="185" spans="1:5">
      <c r="E185" s="155"/>
    </row>
    <row r="186" spans="1:5">
      <c r="A186" s="269"/>
      <c r="C186" s="155"/>
    </row>
    <row r="187" spans="1:5">
      <c r="E187" s="155"/>
    </row>
    <row r="188" spans="1:5">
      <c r="A188" s="269"/>
      <c r="C188" s="155"/>
    </row>
    <row r="189" spans="1:5">
      <c r="E189" s="155"/>
    </row>
    <row r="190" spans="1:5">
      <c r="A190" s="269"/>
      <c r="C190" s="155"/>
    </row>
    <row r="191" spans="1:5">
      <c r="E191" s="155"/>
    </row>
    <row r="192" spans="1:5">
      <c r="A192" s="269"/>
      <c r="C192" s="155"/>
    </row>
    <row r="193" spans="1:5">
      <c r="E193" s="155"/>
    </row>
    <row r="194" spans="1:5">
      <c r="A194" s="269"/>
      <c r="C194" s="155"/>
    </row>
    <row r="195" spans="1:5">
      <c r="E195" s="155"/>
    </row>
    <row r="196" spans="1:5">
      <c r="A196" s="269"/>
      <c r="C196" s="155"/>
    </row>
    <row r="197" spans="1:5">
      <c r="E197" s="155"/>
    </row>
    <row r="198" spans="1:5">
      <c r="A198" s="269"/>
      <c r="D198" s="155"/>
    </row>
    <row r="199" spans="1:5">
      <c r="E199" s="155"/>
    </row>
    <row r="200" spans="1:5">
      <c r="A200" s="269"/>
      <c r="C200" s="155"/>
    </row>
    <row r="201" spans="1:5">
      <c r="E201" s="155"/>
    </row>
    <row r="202" spans="1:5">
      <c r="A202" s="269"/>
      <c r="C202" s="155"/>
    </row>
    <row r="203" spans="1:5">
      <c r="E203" s="155"/>
    </row>
    <row r="204" spans="1:5">
      <c r="A204" s="269"/>
      <c r="C204" s="155"/>
    </row>
    <row r="205" spans="1:5">
      <c r="E205" s="155"/>
    </row>
    <row r="206" spans="1:5">
      <c r="A206" s="269"/>
      <c r="C206" s="155"/>
    </row>
    <row r="207" spans="1:5">
      <c r="E207" s="155"/>
    </row>
    <row r="208" spans="1:5">
      <c r="A208" s="269"/>
      <c r="C208" s="155"/>
    </row>
    <row r="210" spans="1:1">
      <c r="A210" s="269"/>
    </row>
  </sheetData>
  <mergeCells count="15">
    <mergeCell ref="B29:D29"/>
    <mergeCell ref="B17:D17"/>
    <mergeCell ref="B18:D18"/>
    <mergeCell ref="G21:H21"/>
    <mergeCell ref="G25:K25"/>
    <mergeCell ref="G27:H27"/>
    <mergeCell ref="B28:D28"/>
    <mergeCell ref="B15:D15"/>
    <mergeCell ref="G15:H15"/>
    <mergeCell ref="J15:K15"/>
    <mergeCell ref="E10:F10"/>
    <mergeCell ref="B12:D12"/>
    <mergeCell ref="B13:D13"/>
    <mergeCell ref="B14:D14"/>
    <mergeCell ref="G14:K14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B707D-20BA-4E60-8420-17949C27C28F}">
  <dimension ref="A6:R210"/>
  <sheetViews>
    <sheetView showGridLines="0" topLeftCell="A15" workbookViewId="0">
      <selection activeCell="E20" sqref="E20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7.5">
      <c r="A12" s="11"/>
      <c r="B12" s="334" t="s">
        <v>3</v>
      </c>
      <c r="C12" s="335"/>
      <c r="D12" s="336"/>
      <c r="E12" s="17">
        <f>SUM(E13:E15)</f>
        <v>1758277.0699999998</v>
      </c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337" t="s">
        <v>5</v>
      </c>
      <c r="C13" s="338"/>
      <c r="D13" s="339"/>
      <c r="E13" s="20">
        <f>J16+J17+J18+J19</f>
        <v>1629659.91</v>
      </c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49" t="s">
        <v>7</v>
      </c>
      <c r="C14" s="350"/>
      <c r="D14" s="351"/>
      <c r="E14" s="20">
        <f>G22+G23</f>
        <v>43508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52" t="s">
        <v>6</v>
      </c>
      <c r="C15" s="353"/>
      <c r="D15" s="354"/>
      <c r="E15" s="28">
        <f>G16+G17+G18</f>
        <v>85109.16</v>
      </c>
      <c r="F15" s="153">
        <f>E13+E14+E15</f>
        <v>1758277.0699999998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236" t="s">
        <v>187</v>
      </c>
      <c r="C16" s="237"/>
      <c r="D16" s="238"/>
      <c r="E16" s="28">
        <f>+J22</f>
        <v>11107</v>
      </c>
      <c r="F16" s="153">
        <v>90000</v>
      </c>
      <c r="G16" s="22">
        <v>11279.9</v>
      </c>
      <c r="H16" s="23" t="s">
        <v>8</v>
      </c>
      <c r="I16" s="24"/>
      <c r="J16" s="25">
        <v>9658.77</v>
      </c>
      <c r="K16" s="26" t="s">
        <v>9</v>
      </c>
      <c r="L16" s="13"/>
      <c r="N16" s="3"/>
    </row>
    <row r="17" spans="2:18">
      <c r="B17" s="379" t="s">
        <v>11</v>
      </c>
      <c r="C17" s="380"/>
      <c r="D17" s="381"/>
      <c r="E17" s="20">
        <f>G29+G31+G30+G28</f>
        <v>14122.68</v>
      </c>
      <c r="F17" s="153">
        <f>+F15-F16</f>
        <v>1668277.0699999998</v>
      </c>
      <c r="G17" s="22">
        <v>10362.89</v>
      </c>
      <c r="H17" s="29" t="s">
        <v>10</v>
      </c>
      <c r="I17" s="30"/>
      <c r="J17" s="25">
        <v>20232.62</v>
      </c>
      <c r="K17" s="31" t="s">
        <v>10</v>
      </c>
      <c r="N17" s="3"/>
    </row>
    <row r="18" spans="2:18">
      <c r="B18" s="344" t="s">
        <v>13</v>
      </c>
      <c r="C18" s="345"/>
      <c r="D18" s="346"/>
      <c r="E18" s="20">
        <v>16127194.300000001</v>
      </c>
      <c r="F18" s="153"/>
      <c r="G18" s="22">
        <v>63466.37</v>
      </c>
      <c r="H18" s="29" t="s">
        <v>12</v>
      </c>
      <c r="I18" s="30"/>
      <c r="J18" s="25">
        <v>1588837.24</v>
      </c>
      <c r="K18" s="31" t="s">
        <v>12</v>
      </c>
      <c r="L18" s="152"/>
      <c r="N18" s="3"/>
    </row>
    <row r="19" spans="2:18">
      <c r="B19" s="187" t="s">
        <v>15</v>
      </c>
      <c r="C19" s="188"/>
      <c r="D19" s="189"/>
      <c r="E19" s="190">
        <f>SUM(E20:E22)</f>
        <v>0</v>
      </c>
      <c r="F19" s="153"/>
      <c r="G19" s="33"/>
      <c r="H19" s="34"/>
      <c r="I19" s="30"/>
      <c r="J19" s="25">
        <v>10931.28</v>
      </c>
      <c r="K19" s="31" t="s">
        <v>14</v>
      </c>
      <c r="L19" s="294"/>
      <c r="M19" s="294"/>
      <c r="N19" s="268"/>
    </row>
    <row r="20" spans="2:18">
      <c r="B20" s="187"/>
      <c r="C20" s="188"/>
      <c r="D20" s="198"/>
      <c r="E20" s="190"/>
      <c r="F20" s="153"/>
      <c r="G20" s="239"/>
      <c r="H20" s="240"/>
      <c r="I20" s="30"/>
      <c r="J20" s="25"/>
      <c r="K20" s="31"/>
      <c r="L20" s="294"/>
      <c r="M20" s="294"/>
    </row>
    <row r="21" spans="2:18">
      <c r="B21" s="187"/>
      <c r="C21" s="188"/>
      <c r="D21" s="198"/>
      <c r="E21" s="190"/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</row>
    <row r="22" spans="2:18">
      <c r="B22" s="187"/>
      <c r="C22" s="188"/>
      <c r="D22" s="198"/>
      <c r="E22" s="190">
        <v>0</v>
      </c>
      <c r="F22" s="153"/>
      <c r="G22" s="44">
        <v>17295.04</v>
      </c>
      <c r="H22" s="29" t="s">
        <v>10</v>
      </c>
      <c r="I22" s="30"/>
      <c r="J22" s="25">
        <v>11107</v>
      </c>
      <c r="K22" s="31" t="s">
        <v>188</v>
      </c>
      <c r="L22" s="294"/>
      <c r="M22" s="294"/>
      <c r="O22" s="235"/>
    </row>
    <row r="23" spans="2:18">
      <c r="B23" s="46" t="s">
        <v>17</v>
      </c>
      <c r="C23" s="47"/>
      <c r="D23" s="48"/>
      <c r="E23" s="234">
        <f>9896.83+3384.38+2500+3948.5</f>
        <v>19729.71</v>
      </c>
      <c r="F23" s="153"/>
      <c r="G23" s="44">
        <v>26212.959999999999</v>
      </c>
      <c r="H23" s="29" t="s">
        <v>18</v>
      </c>
      <c r="I23" s="30"/>
      <c r="J23" s="25"/>
      <c r="K23" s="31"/>
    </row>
    <row r="24" spans="2:18" ht="15" thickBot="1">
      <c r="B24" s="202" t="s">
        <v>58</v>
      </c>
      <c r="C24" s="203"/>
      <c r="D24" s="204"/>
      <c r="E24" s="234">
        <v>0</v>
      </c>
      <c r="F24" s="220"/>
      <c r="G24" s="51"/>
      <c r="H24" s="34"/>
      <c r="I24" s="30"/>
      <c r="J24" s="210"/>
      <c r="K24" s="53"/>
      <c r="N24" s="290"/>
    </row>
    <row r="25" spans="2:18" ht="15" thickBot="1">
      <c r="B25" s="199" t="s">
        <v>22</v>
      </c>
      <c r="C25" s="200"/>
      <c r="D25" s="201"/>
      <c r="E25" s="234">
        <v>0</v>
      </c>
      <c r="F25" s="153">
        <f>+F17-E23</f>
        <v>1648547.3599999999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199" t="s">
        <v>366</v>
      </c>
      <c r="C26" s="200"/>
      <c r="D26" s="201"/>
      <c r="E26" s="234">
        <v>0</v>
      </c>
      <c r="F26" s="288">
        <f>SUM(E23:E29)</f>
        <v>19729.71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80</v>
      </c>
      <c r="C27" s="200"/>
      <c r="D27" s="201"/>
      <c r="E27" s="49">
        <v>0</v>
      </c>
      <c r="F27" s="153">
        <f>+F25-F26</f>
        <v>1628817.65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344" t="s">
        <v>69</v>
      </c>
      <c r="C28" s="345"/>
      <c r="D28" s="346"/>
      <c r="E28" s="49">
        <v>0</v>
      </c>
      <c r="F28" s="221"/>
      <c r="G28" s="22">
        <v>4152.54</v>
      </c>
      <c r="H28" s="62" t="s">
        <v>9</v>
      </c>
      <c r="I28" s="59"/>
      <c r="J28" s="60"/>
      <c r="K28" s="45"/>
      <c r="N28" s="269"/>
      <c r="P28" s="155"/>
      <c r="R28" s="155"/>
    </row>
    <row r="29" spans="2:18" ht="15" thickBot="1">
      <c r="B29" s="363" t="s">
        <v>29</v>
      </c>
      <c r="C29" s="364"/>
      <c r="D29" s="365"/>
      <c r="E29" s="66">
        <v>0</v>
      </c>
      <c r="F29" s="220"/>
      <c r="G29" s="22">
        <v>974.1</v>
      </c>
      <c r="H29" s="62" t="s">
        <v>26</v>
      </c>
      <c r="I29" s="63"/>
      <c r="J29" s="64" t="s">
        <v>27</v>
      </c>
      <c r="K29" s="65" t="s">
        <v>28</v>
      </c>
    </row>
    <row r="30" spans="2:18">
      <c r="E30" s="79"/>
      <c r="F30" s="220"/>
      <c r="G30" s="67">
        <v>1768.39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E31" s="79"/>
      <c r="F31" s="220"/>
      <c r="G31" s="71">
        <v>7227.65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79"/>
      <c r="F32" s="220"/>
      <c r="N32" s="269"/>
      <c r="P32" s="155"/>
      <c r="R32" s="155"/>
    </row>
    <row r="33" spans="2:18">
      <c r="E33" s="79"/>
      <c r="F33" s="220"/>
    </row>
    <row r="34" spans="2:18">
      <c r="B34" s="61"/>
      <c r="C34" s="61"/>
      <c r="D34" s="61"/>
      <c r="E34" s="181" t="s">
        <v>354</v>
      </c>
      <c r="F34" s="220"/>
      <c r="H34" s="61"/>
      <c r="I34" s="61"/>
      <c r="J34" s="13"/>
      <c r="K34" s="61"/>
      <c r="L34" s="61"/>
      <c r="M34" s="61"/>
      <c r="N34" s="269"/>
      <c r="P34" s="155"/>
      <c r="R34" s="155"/>
    </row>
    <row r="35" spans="2:18">
      <c r="B35" s="61"/>
      <c r="C35" s="61"/>
      <c r="D35" s="61"/>
      <c r="E35" s="181"/>
      <c r="F35" s="220"/>
      <c r="H35" s="61"/>
      <c r="I35" s="61"/>
      <c r="J35" s="13"/>
      <c r="K35" s="61"/>
      <c r="L35" s="61"/>
      <c r="M35" s="61"/>
    </row>
    <row r="36" spans="2:18" s="61" customFormat="1" ht="15" customHeight="1">
      <c r="E36" s="8" t="s">
        <v>34</v>
      </c>
      <c r="F36" s="222"/>
      <c r="G36" s="8"/>
      <c r="H36" s="13"/>
      <c r="J36" s="13"/>
      <c r="K36" s="83"/>
      <c r="L36" s="88"/>
      <c r="N36" s="272"/>
      <c r="P36" s="273"/>
      <c r="R36" s="273"/>
    </row>
    <row r="37" spans="2:18" s="61" customFormat="1" ht="15" customHeight="1">
      <c r="E37" s="8" t="s">
        <v>35</v>
      </c>
      <c r="F37" s="222"/>
      <c r="G37" s="181"/>
      <c r="H37" s="161"/>
      <c r="I37" s="197"/>
      <c r="J37" s="13"/>
      <c r="K37" s="83"/>
      <c r="L37" s="161"/>
      <c r="M37" s="197"/>
    </row>
    <row r="38" spans="2:18" s="61" customFormat="1" ht="15" customHeight="1">
      <c r="E38" s="8" t="s">
        <v>36</v>
      </c>
      <c r="F38" s="222">
        <f>F17</f>
        <v>1668277.0699999998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2:18" s="61" customFormat="1" ht="15" customHeight="1">
      <c r="E39" s="8" t="s">
        <v>37</v>
      </c>
      <c r="F39" s="222">
        <f>+E17</f>
        <v>14122.68</v>
      </c>
      <c r="G39" s="86"/>
      <c r="I39" s="197"/>
      <c r="J39" s="13"/>
      <c r="K39" s="85"/>
      <c r="M39" s="197"/>
    </row>
    <row r="40" spans="2:18" s="61" customFormat="1" ht="15" customHeight="1">
      <c r="E40" s="182" t="s">
        <v>38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2:18" s="61" customFormat="1" ht="15" customHeight="1">
      <c r="E41" s="183"/>
      <c r="F41" s="222">
        <v>0</v>
      </c>
      <c r="G41" s="9"/>
      <c r="I41" s="197"/>
      <c r="J41" s="13"/>
      <c r="M41" s="197"/>
    </row>
    <row r="42" spans="2:18" s="61" customFormat="1" ht="15" customHeight="1">
      <c r="E42" s="183" t="s">
        <v>152</v>
      </c>
      <c r="F42" s="223">
        <f>SUM(F38:F41)</f>
        <v>1682399.7499999998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183" t="s">
        <v>355</v>
      </c>
      <c r="F43" s="224"/>
      <c r="G43" s="9"/>
      <c r="H43" s="163"/>
      <c r="I43" s="229"/>
      <c r="J43" s="13"/>
      <c r="L43" s="163"/>
      <c r="M43" s="229"/>
    </row>
    <row r="44" spans="2:18" s="61" customFormat="1" ht="15" customHeight="1">
      <c r="E44" s="183" t="s">
        <v>356</v>
      </c>
      <c r="F44" s="224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2:18" s="61" customFormat="1" ht="15" customHeight="1">
      <c r="E45" s="183" t="s">
        <v>64</v>
      </c>
      <c r="F45" s="224">
        <v>1300000</v>
      </c>
      <c r="G45" s="9"/>
      <c r="H45" s="165"/>
      <c r="I45" s="230"/>
      <c r="J45" s="13"/>
    </row>
    <row r="46" spans="2:18" s="61" customFormat="1" ht="15" customHeight="1">
      <c r="E46" s="183" t="s">
        <v>69</v>
      </c>
      <c r="F46" s="224">
        <v>120000</v>
      </c>
      <c r="G46" s="9"/>
      <c r="H46" s="165"/>
      <c r="I46" s="230"/>
      <c r="J46" s="13"/>
    </row>
    <row r="47" spans="2:18" s="61" customFormat="1" ht="15" customHeight="1">
      <c r="E47" s="116" t="s">
        <v>24</v>
      </c>
      <c r="F47" s="224">
        <v>0</v>
      </c>
      <c r="G47" s="9"/>
      <c r="H47" s="165"/>
      <c r="I47" s="230"/>
      <c r="J47" s="13"/>
    </row>
    <row r="48" spans="2:18" s="61" customFormat="1" ht="15" customHeight="1">
      <c r="E48" s="116" t="s">
        <v>22</v>
      </c>
      <c r="F48" s="224">
        <v>60000</v>
      </c>
      <c r="G48" s="9"/>
      <c r="H48" s="165"/>
      <c r="I48" s="230"/>
      <c r="J48" s="13"/>
    </row>
    <row r="49" spans="2:13" s="61" customFormat="1" ht="15" customHeight="1">
      <c r="E49" s="116" t="s">
        <v>40</v>
      </c>
      <c r="F49" s="220">
        <v>0</v>
      </c>
      <c r="G49" s="9"/>
      <c r="H49" s="165"/>
      <c r="I49" s="230"/>
      <c r="J49" s="13"/>
    </row>
    <row r="50" spans="2:13" s="61" customFormat="1">
      <c r="E50" s="118" t="s">
        <v>41</v>
      </c>
      <c r="F50" s="220">
        <v>50000</v>
      </c>
      <c r="G50" s="8"/>
      <c r="H50" s="91"/>
      <c r="I50" s="231"/>
      <c r="J50" s="13"/>
    </row>
    <row r="51" spans="2:13" s="61" customFormat="1">
      <c r="E51" s="118" t="s">
        <v>42</v>
      </c>
      <c r="F51" s="226">
        <f>200000-90000-60000</f>
        <v>50000</v>
      </c>
      <c r="G51" s="8"/>
      <c r="H51" s="96"/>
      <c r="I51" s="231"/>
      <c r="J51" s="262"/>
    </row>
    <row r="52" spans="2:13" s="61" customFormat="1">
      <c r="E52" s="8"/>
      <c r="F52" s="225">
        <f>SUM(F44:F51)</f>
        <v>1705000</v>
      </c>
      <c r="G52" s="82"/>
      <c r="H52" s="83"/>
      <c r="I52" s="228"/>
      <c r="J52" s="13"/>
    </row>
    <row r="53" spans="2:13" s="61" customFormat="1">
      <c r="E53" s="82" t="s">
        <v>43</v>
      </c>
      <c r="F53" s="225">
        <f>F42-F52</f>
        <v>-22600.250000000233</v>
      </c>
      <c r="G53" s="82"/>
      <c r="H53" s="83"/>
      <c r="I53" s="233"/>
      <c r="J53" s="13"/>
      <c r="L53" s="91"/>
      <c r="M53" s="232"/>
    </row>
    <row r="54" spans="2:13" s="61" customFormat="1">
      <c r="E54" s="82" t="s">
        <v>44</v>
      </c>
      <c r="F54" s="154"/>
      <c r="G54" s="82"/>
      <c r="H54" s="83"/>
      <c r="I54" s="233"/>
      <c r="J54" s="13"/>
      <c r="L54" s="91"/>
      <c r="M54" s="232"/>
    </row>
    <row r="55" spans="2:13" s="61" customFormat="1">
      <c r="E55" s="82" t="s">
        <v>45</v>
      </c>
      <c r="F55" s="80">
        <f>43800+180000</f>
        <v>223800</v>
      </c>
      <c r="G55" s="82"/>
      <c r="H55" s="83"/>
      <c r="I55" s="233"/>
      <c r="J55" s="13"/>
      <c r="L55" s="96"/>
      <c r="M55" s="231"/>
    </row>
    <row r="56" spans="2:13" s="61" customFormat="1">
      <c r="E56" s="82" t="s">
        <v>205</v>
      </c>
      <c r="F56" s="80">
        <v>365000</v>
      </c>
      <c r="G56" s="82"/>
      <c r="H56" s="96"/>
      <c r="I56" s="228"/>
      <c r="J56" s="13"/>
      <c r="L56" s="96"/>
      <c r="M56" s="233"/>
    </row>
    <row r="57" spans="2:13" s="61" customFormat="1">
      <c r="B57"/>
      <c r="C57"/>
      <c r="D57"/>
      <c r="E57" s="82" t="s">
        <v>206</v>
      </c>
      <c r="F57" s="117">
        <v>0</v>
      </c>
      <c r="G57" s="82"/>
      <c r="H57" s="83"/>
      <c r="I57" s="233"/>
      <c r="J57" s="13"/>
    </row>
    <row r="58" spans="2:13" s="61" customFormat="1">
      <c r="B58"/>
      <c r="C58"/>
      <c r="D58"/>
      <c r="E58" s="118" t="s">
        <v>46</v>
      </c>
      <c r="F58" s="117">
        <v>0</v>
      </c>
      <c r="G58"/>
      <c r="H58" s="96"/>
      <c r="I58" s="219"/>
      <c r="J58" s="13"/>
      <c r="L58" s="83"/>
      <c r="M58" s="228"/>
    </row>
    <row r="59" spans="2:13">
      <c r="E59" s="82"/>
      <c r="F59" s="117">
        <v>0</v>
      </c>
      <c r="H59" s="61"/>
      <c r="I59" s="61"/>
      <c r="J59" s="13"/>
      <c r="K59" s="61"/>
      <c r="L59" s="61"/>
      <c r="M59" s="61"/>
    </row>
    <row r="60" spans="2:13">
      <c r="E60" s="118" t="s">
        <v>47</v>
      </c>
      <c r="F60" s="120">
        <f>SUM(F55:F59)</f>
        <v>588800</v>
      </c>
      <c r="H60" s="61"/>
      <c r="I60" s="61"/>
      <c r="J60" s="13"/>
      <c r="K60" s="61"/>
      <c r="L60" s="61"/>
      <c r="M60" s="61"/>
    </row>
    <row r="61" spans="2:13">
      <c r="D61" s="247" t="s">
        <v>192</v>
      </c>
      <c r="E61" s="8"/>
      <c r="F61" s="80"/>
    </row>
    <row r="62" spans="2:13">
      <c r="D62" s="247" t="s">
        <v>194</v>
      </c>
      <c r="E62" s="8"/>
      <c r="F62" s="120">
        <f>F53-F60</f>
        <v>-611400.25000000023</v>
      </c>
      <c r="G62" s="8"/>
    </row>
    <row r="63" spans="2:13">
      <c r="D63" s="8" t="s">
        <v>9</v>
      </c>
      <c r="E63" s="8"/>
      <c r="F63" s="220"/>
      <c r="G63" s="8"/>
    </row>
    <row r="64" spans="2:13">
      <c r="D64" s="8" t="s">
        <v>195</v>
      </c>
      <c r="E64" s="8"/>
      <c r="G64" s="8"/>
    </row>
    <row r="65" spans="1:7">
      <c r="D65" s="8" t="s">
        <v>188</v>
      </c>
      <c r="E65" s="247"/>
      <c r="G65" s="8"/>
    </row>
    <row r="66" spans="1:7">
      <c r="D66" s="8"/>
      <c r="E66" s="247"/>
      <c r="G66" s="124">
        <f>SUM(E72:F72)</f>
        <v>0</v>
      </c>
    </row>
    <row r="67" spans="1:7">
      <c r="E67" s="249"/>
      <c r="F67" s="275"/>
      <c r="G67" s="8"/>
    </row>
    <row r="68" spans="1:7">
      <c r="E68" s="249"/>
      <c r="F68" s="286"/>
    </row>
    <row r="69" spans="1:7">
      <c r="E69" s="249"/>
      <c r="F69" s="246"/>
    </row>
    <row r="70" spans="1:7">
      <c r="E70" s="124"/>
      <c r="F70" s="287"/>
    </row>
    <row r="71" spans="1:7">
      <c r="E71" s="8"/>
      <c r="F71" s="287"/>
    </row>
    <row r="72" spans="1:7">
      <c r="E72" s="8"/>
      <c r="F72" s="287"/>
    </row>
    <row r="73" spans="1:7">
      <c r="E73" s="8"/>
    </row>
    <row r="74" spans="1:7">
      <c r="A74" s="268"/>
      <c r="E74" s="8"/>
    </row>
    <row r="75" spans="1:7">
      <c r="B75" s="235"/>
      <c r="E75" s="8"/>
    </row>
    <row r="76" spans="1:7">
      <c r="E76" s="8"/>
    </row>
    <row r="77" spans="1:7">
      <c r="E77" s="293"/>
    </row>
    <row r="78" spans="1:7">
      <c r="C78" s="155"/>
      <c r="E78" s="8"/>
    </row>
    <row r="79" spans="1:7">
      <c r="E79" s="293"/>
    </row>
    <row r="80" spans="1:7">
      <c r="A80" s="269"/>
      <c r="C80" s="155"/>
      <c r="E80" s="8"/>
    </row>
    <row r="81" spans="1:5">
      <c r="E81" s="293"/>
    </row>
    <row r="82" spans="1:5">
      <c r="A82" s="269"/>
      <c r="C82" s="155"/>
      <c r="E82" s="8"/>
    </row>
    <row r="83" spans="1:5">
      <c r="E83" s="293"/>
    </row>
    <row r="84" spans="1:5">
      <c r="A84" s="269"/>
      <c r="C84" s="155"/>
      <c r="E84" s="8"/>
    </row>
    <row r="85" spans="1:5">
      <c r="E85" s="293"/>
    </row>
    <row r="86" spans="1:5">
      <c r="A86" s="269"/>
      <c r="C86" s="155"/>
      <c r="E86" s="8"/>
    </row>
    <row r="87" spans="1:5">
      <c r="E87" s="293"/>
    </row>
    <row r="88" spans="1:5">
      <c r="A88" s="269"/>
      <c r="C88" s="155"/>
      <c r="E88" s="8"/>
    </row>
    <row r="89" spans="1:5">
      <c r="E89" s="293"/>
    </row>
    <row r="90" spans="1:5">
      <c r="A90" s="269"/>
      <c r="C90" s="155"/>
      <c r="E90" s="8"/>
    </row>
    <row r="91" spans="1:5">
      <c r="E91" s="293"/>
    </row>
    <row r="92" spans="1:5">
      <c r="A92" s="269"/>
      <c r="C92" s="155"/>
      <c r="E92" s="8"/>
    </row>
    <row r="93" spans="1:5">
      <c r="E93" s="293"/>
    </row>
    <row r="94" spans="1:5">
      <c r="A94" s="269"/>
      <c r="C94" s="155"/>
      <c r="E94" s="8"/>
    </row>
    <row r="95" spans="1:5">
      <c r="E95" s="293"/>
    </row>
    <row r="96" spans="1:5">
      <c r="A96" s="269"/>
      <c r="C96" s="155"/>
      <c r="E96" s="8"/>
    </row>
    <row r="97" spans="1:5">
      <c r="E97" s="293"/>
    </row>
    <row r="98" spans="1:5">
      <c r="A98" s="269"/>
      <c r="C98" s="155"/>
      <c r="E98" s="8"/>
    </row>
    <row r="99" spans="1:5">
      <c r="E99" s="293"/>
    </row>
    <row r="100" spans="1:5">
      <c r="A100" s="269"/>
      <c r="C100" s="155"/>
      <c r="E100" s="8"/>
    </row>
    <row r="101" spans="1:5">
      <c r="E101" s="293"/>
    </row>
    <row r="102" spans="1:5">
      <c r="A102" s="269"/>
      <c r="C102" s="155"/>
      <c r="E102" s="8"/>
    </row>
    <row r="103" spans="1:5">
      <c r="E103" s="293"/>
    </row>
    <row r="104" spans="1:5">
      <c r="A104" s="269"/>
      <c r="C104" s="155"/>
      <c r="E104" s="8"/>
    </row>
    <row r="105" spans="1:5">
      <c r="E105" s="293"/>
    </row>
    <row r="106" spans="1:5">
      <c r="A106" s="269"/>
      <c r="C106" s="155"/>
      <c r="E106" s="8"/>
    </row>
    <row r="107" spans="1:5">
      <c r="E107" s="293"/>
    </row>
    <row r="108" spans="1:5">
      <c r="A108" s="269"/>
      <c r="C108" s="155"/>
      <c r="E108" s="8"/>
    </row>
    <row r="109" spans="1:5">
      <c r="E109" s="277"/>
    </row>
    <row r="110" spans="1:5">
      <c r="A110" s="269"/>
      <c r="C110" s="155"/>
      <c r="E110" s="79"/>
    </row>
    <row r="111" spans="1:5">
      <c r="E111" s="277"/>
    </row>
    <row r="112" spans="1:5">
      <c r="A112" s="269"/>
      <c r="C112" s="155"/>
      <c r="E112" s="79"/>
    </row>
    <row r="113" spans="1:5">
      <c r="E113" s="277"/>
    </row>
    <row r="114" spans="1:5">
      <c r="A114" s="269"/>
      <c r="C114" s="155"/>
      <c r="E114" s="79"/>
    </row>
    <row r="115" spans="1:5">
      <c r="E115" s="277"/>
    </row>
    <row r="116" spans="1:5">
      <c r="A116" s="269"/>
      <c r="C116" s="155"/>
      <c r="E116" s="79"/>
    </row>
    <row r="117" spans="1:5">
      <c r="E117" s="277"/>
    </row>
    <row r="118" spans="1:5">
      <c r="A118" s="269"/>
      <c r="C118" s="155"/>
      <c r="E118" s="79"/>
    </row>
    <row r="119" spans="1:5">
      <c r="E119" s="277"/>
    </row>
    <row r="120" spans="1:5">
      <c r="A120" s="269"/>
      <c r="C120" s="155"/>
      <c r="E120" s="79"/>
    </row>
    <row r="121" spans="1:5">
      <c r="E121" s="277"/>
    </row>
    <row r="122" spans="1:5">
      <c r="A122" s="269"/>
      <c r="C122" s="155"/>
    </row>
    <row r="123" spans="1:5">
      <c r="E123" s="155"/>
    </row>
    <row r="124" spans="1:5">
      <c r="A124" s="269"/>
      <c r="C124" s="155"/>
    </row>
    <row r="125" spans="1:5">
      <c r="E125" s="155"/>
    </row>
    <row r="126" spans="1:5">
      <c r="A126" s="269"/>
      <c r="C126" s="155"/>
    </row>
    <row r="127" spans="1:5">
      <c r="E127" s="155"/>
    </row>
    <row r="128" spans="1:5">
      <c r="A128" s="269"/>
      <c r="C128" s="155"/>
    </row>
    <row r="129" spans="1:5">
      <c r="E129" s="155"/>
    </row>
    <row r="130" spans="1:5">
      <c r="A130" s="269"/>
      <c r="C130" s="155"/>
    </row>
    <row r="131" spans="1:5">
      <c r="E131" s="155"/>
    </row>
    <row r="132" spans="1:5">
      <c r="A132" s="269"/>
      <c r="C132" s="155"/>
    </row>
    <row r="133" spans="1:5">
      <c r="E133" s="155"/>
    </row>
    <row r="134" spans="1:5">
      <c r="A134" s="269"/>
      <c r="C134" s="155"/>
    </row>
    <row r="135" spans="1:5">
      <c r="E135" s="155"/>
    </row>
    <row r="136" spans="1:5">
      <c r="A136" s="269"/>
      <c r="C136" s="155"/>
    </row>
    <row r="137" spans="1:5">
      <c r="E137" s="155"/>
    </row>
    <row r="138" spans="1:5">
      <c r="A138" s="269"/>
      <c r="C138" s="155"/>
    </row>
    <row r="139" spans="1:5">
      <c r="E139" s="155"/>
    </row>
    <row r="140" spans="1:5">
      <c r="A140" s="269"/>
      <c r="C140" s="155"/>
    </row>
    <row r="141" spans="1:5">
      <c r="E141" s="155"/>
    </row>
    <row r="142" spans="1:5">
      <c r="A142" s="269"/>
      <c r="C142" s="155"/>
    </row>
    <row r="143" spans="1:5">
      <c r="E143" s="155"/>
    </row>
    <row r="144" spans="1:5">
      <c r="A144" s="269"/>
      <c r="C144" s="155"/>
    </row>
    <row r="145" spans="1:5">
      <c r="E145" s="155"/>
    </row>
    <row r="146" spans="1:5">
      <c r="A146" s="269"/>
      <c r="C146" s="155"/>
    </row>
    <row r="147" spans="1:5">
      <c r="E147" s="155"/>
    </row>
    <row r="148" spans="1:5">
      <c r="A148" s="269"/>
      <c r="C148" s="155"/>
    </row>
    <row r="149" spans="1:5">
      <c r="E149" s="155"/>
    </row>
    <row r="150" spans="1:5">
      <c r="A150" s="269"/>
      <c r="C150" s="155"/>
    </row>
    <row r="151" spans="1:5">
      <c r="E151" s="155"/>
    </row>
    <row r="152" spans="1:5">
      <c r="A152" s="269"/>
      <c r="C152" s="155"/>
    </row>
    <row r="153" spans="1:5">
      <c r="E153" s="155"/>
    </row>
    <row r="154" spans="1:5">
      <c r="A154" s="269"/>
      <c r="C154" s="155"/>
    </row>
    <row r="155" spans="1:5">
      <c r="E155" s="155"/>
    </row>
    <row r="156" spans="1:5">
      <c r="A156" s="269"/>
      <c r="C156" s="155"/>
    </row>
    <row r="157" spans="1:5">
      <c r="E157" s="155"/>
    </row>
    <row r="158" spans="1:5">
      <c r="A158" s="269"/>
      <c r="C158" s="155"/>
    </row>
    <row r="159" spans="1:5">
      <c r="E159" s="155"/>
    </row>
    <row r="160" spans="1:5">
      <c r="A160" s="269"/>
      <c r="C160" s="155"/>
    </row>
    <row r="161" spans="1:5">
      <c r="E161" s="155"/>
    </row>
    <row r="162" spans="1:5">
      <c r="A162" s="269"/>
      <c r="C162" s="155"/>
    </row>
    <row r="163" spans="1:5">
      <c r="E163" s="155"/>
    </row>
    <row r="164" spans="1:5">
      <c r="A164" s="269"/>
      <c r="C164" s="155"/>
    </row>
    <row r="165" spans="1:5">
      <c r="E165" s="155"/>
    </row>
    <row r="166" spans="1:5">
      <c r="A166" s="269"/>
      <c r="C166" s="155"/>
    </row>
    <row r="167" spans="1:5">
      <c r="E167" s="155"/>
    </row>
    <row r="168" spans="1:5">
      <c r="A168" s="269"/>
      <c r="C168" s="155"/>
    </row>
    <row r="169" spans="1:5">
      <c r="E169" s="155"/>
    </row>
    <row r="170" spans="1:5">
      <c r="A170" s="269"/>
      <c r="C170" s="155"/>
    </row>
    <row r="171" spans="1:5">
      <c r="E171" s="155"/>
    </row>
    <row r="172" spans="1:5">
      <c r="A172" s="269"/>
      <c r="C172" s="155"/>
    </row>
    <row r="173" spans="1:5">
      <c r="E173" s="155"/>
    </row>
    <row r="174" spans="1:5">
      <c r="A174" s="269"/>
      <c r="C174" s="155"/>
    </row>
    <row r="175" spans="1:5">
      <c r="E175" s="155"/>
    </row>
    <row r="176" spans="1:5">
      <c r="A176" s="269"/>
      <c r="C176" s="155"/>
    </row>
    <row r="177" spans="1:5">
      <c r="E177" s="155"/>
    </row>
    <row r="178" spans="1:5">
      <c r="A178" s="269"/>
      <c r="C178" s="155"/>
    </row>
    <row r="179" spans="1:5">
      <c r="E179" s="155"/>
    </row>
    <row r="180" spans="1:5">
      <c r="A180" s="269"/>
      <c r="C180" s="155"/>
    </row>
    <row r="181" spans="1:5">
      <c r="E181" s="155"/>
    </row>
    <row r="182" spans="1:5">
      <c r="A182" s="269"/>
      <c r="C182" s="155"/>
    </row>
    <row r="183" spans="1:5">
      <c r="E183" s="155"/>
    </row>
    <row r="184" spans="1:5">
      <c r="A184" s="269"/>
      <c r="C184" s="155"/>
    </row>
    <row r="185" spans="1:5">
      <c r="E185" s="155"/>
    </row>
    <row r="186" spans="1:5">
      <c r="A186" s="269"/>
      <c r="C186" s="155"/>
    </row>
    <row r="187" spans="1:5">
      <c r="E187" s="155"/>
    </row>
    <row r="188" spans="1:5">
      <c r="A188" s="269"/>
      <c r="C188" s="155"/>
    </row>
    <row r="189" spans="1:5">
      <c r="E189" s="155"/>
    </row>
    <row r="190" spans="1:5">
      <c r="A190" s="269"/>
      <c r="C190" s="155"/>
    </row>
    <row r="191" spans="1:5">
      <c r="E191" s="155"/>
    </row>
    <row r="192" spans="1:5">
      <c r="A192" s="269"/>
      <c r="C192" s="155"/>
    </row>
    <row r="193" spans="1:5">
      <c r="E193" s="155"/>
    </row>
    <row r="194" spans="1:5">
      <c r="A194" s="269"/>
      <c r="C194" s="155"/>
    </row>
    <row r="195" spans="1:5">
      <c r="E195" s="155"/>
    </row>
    <row r="196" spans="1:5">
      <c r="A196" s="269"/>
      <c r="C196" s="155"/>
    </row>
    <row r="197" spans="1:5">
      <c r="E197" s="155"/>
    </row>
    <row r="198" spans="1:5">
      <c r="A198" s="269"/>
      <c r="D198" s="155"/>
    </row>
    <row r="199" spans="1:5">
      <c r="E199" s="155"/>
    </row>
    <row r="200" spans="1:5">
      <c r="A200" s="269"/>
      <c r="C200" s="155"/>
    </row>
    <row r="201" spans="1:5">
      <c r="E201" s="155"/>
    </row>
    <row r="202" spans="1:5">
      <c r="A202" s="269"/>
      <c r="C202" s="155"/>
    </row>
    <row r="203" spans="1:5">
      <c r="E203" s="155"/>
    </row>
    <row r="204" spans="1:5">
      <c r="A204" s="269"/>
      <c r="C204" s="155"/>
    </row>
    <row r="205" spans="1:5">
      <c r="E205" s="155"/>
    </row>
    <row r="206" spans="1:5">
      <c r="A206" s="269"/>
      <c r="C206" s="155"/>
    </row>
    <row r="207" spans="1:5">
      <c r="E207" s="155"/>
    </row>
    <row r="208" spans="1:5">
      <c r="A208" s="269"/>
      <c r="C208" s="155"/>
    </row>
    <row r="210" spans="1:1">
      <c r="A210" s="269"/>
    </row>
  </sheetData>
  <mergeCells count="15">
    <mergeCell ref="B15:D15"/>
    <mergeCell ref="G15:H15"/>
    <mergeCell ref="J15:K15"/>
    <mergeCell ref="E10:F10"/>
    <mergeCell ref="B12:D12"/>
    <mergeCell ref="B13:D13"/>
    <mergeCell ref="B14:D14"/>
    <mergeCell ref="G14:K14"/>
    <mergeCell ref="B29:D29"/>
    <mergeCell ref="B17:D17"/>
    <mergeCell ref="B18:D18"/>
    <mergeCell ref="G21:H21"/>
    <mergeCell ref="G25:K25"/>
    <mergeCell ref="G27:H27"/>
    <mergeCell ref="B28:D28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E1DC3-5B17-4113-9DF2-02EA9BD02E1E}">
  <dimension ref="A6:R210"/>
  <sheetViews>
    <sheetView showGridLines="0" topLeftCell="A11" workbookViewId="0">
      <selection activeCell="B29" sqref="B29:D29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7.5">
      <c r="A12" s="11"/>
      <c r="B12" s="334" t="s">
        <v>3</v>
      </c>
      <c r="C12" s="335"/>
      <c r="D12" s="336"/>
      <c r="E12" s="17">
        <f>SUM(E13:E15)</f>
        <v>1891714.8199999998</v>
      </c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337" t="s">
        <v>5</v>
      </c>
      <c r="C13" s="338"/>
      <c r="D13" s="339"/>
      <c r="E13" s="20">
        <f>J16+J17+J18+J19</f>
        <v>1765236.16</v>
      </c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49" t="s">
        <v>7</v>
      </c>
      <c r="C14" s="350"/>
      <c r="D14" s="351"/>
      <c r="E14" s="20">
        <f>G22+G23</f>
        <v>43508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52" t="s">
        <v>6</v>
      </c>
      <c r="C15" s="353"/>
      <c r="D15" s="354"/>
      <c r="E15" s="28">
        <f>G16+G17+G18</f>
        <v>82970.66</v>
      </c>
      <c r="F15" s="153">
        <f>E13+E14+E15</f>
        <v>1891714.8199999998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236" t="s">
        <v>187</v>
      </c>
      <c r="C16" s="237"/>
      <c r="D16" s="238"/>
      <c r="E16" s="28">
        <f>+J22</f>
        <v>11107</v>
      </c>
      <c r="F16" s="153">
        <v>90000</v>
      </c>
      <c r="G16" s="22">
        <v>11279.9</v>
      </c>
      <c r="H16" s="23" t="s">
        <v>8</v>
      </c>
      <c r="I16" s="24"/>
      <c r="J16" s="25">
        <v>18392.73</v>
      </c>
      <c r="K16" s="26" t="s">
        <v>9</v>
      </c>
      <c r="L16" s="13"/>
      <c r="N16" s="3"/>
    </row>
    <row r="17" spans="2:18">
      <c r="B17" s="379" t="s">
        <v>11</v>
      </c>
      <c r="C17" s="380"/>
      <c r="D17" s="381"/>
      <c r="E17" s="20">
        <f>G29+G31+G30+G28</f>
        <v>14126.170000000002</v>
      </c>
      <c r="F17" s="153">
        <f>+F15-F16</f>
        <v>1801714.8199999998</v>
      </c>
      <c r="G17" s="22">
        <v>10362.89</v>
      </c>
      <c r="H17" s="29" t="s">
        <v>10</v>
      </c>
      <c r="I17" s="30"/>
      <c r="J17" s="25">
        <v>134610.91</v>
      </c>
      <c r="K17" s="31" t="s">
        <v>10</v>
      </c>
      <c r="N17" s="3"/>
    </row>
    <row r="18" spans="2:18">
      <c r="B18" s="344" t="s">
        <v>13</v>
      </c>
      <c r="C18" s="345"/>
      <c r="D18" s="346"/>
      <c r="E18" s="20">
        <v>16194482.470000001</v>
      </c>
      <c r="F18" s="153"/>
      <c r="G18" s="22">
        <v>61327.87</v>
      </c>
      <c r="H18" s="29" t="s">
        <v>12</v>
      </c>
      <c r="I18" s="30"/>
      <c r="J18" s="25">
        <v>1603685.24</v>
      </c>
      <c r="K18" s="31" t="s">
        <v>12</v>
      </c>
      <c r="L18" s="152"/>
      <c r="N18" s="3"/>
    </row>
    <row r="19" spans="2:18">
      <c r="B19" s="187" t="s">
        <v>15</v>
      </c>
      <c r="C19" s="188"/>
      <c r="D19" s="189"/>
      <c r="E19" s="190">
        <f>SUM(E20:E23)</f>
        <v>141345.13</v>
      </c>
      <c r="F19" s="153"/>
      <c r="G19" s="33"/>
      <c r="H19" s="34"/>
      <c r="I19" s="30"/>
      <c r="J19" s="25">
        <v>8547.2800000000007</v>
      </c>
      <c r="K19" s="31" t="s">
        <v>14</v>
      </c>
      <c r="L19" s="294"/>
      <c r="M19" s="294"/>
      <c r="N19" s="268"/>
    </row>
    <row r="20" spans="2:18">
      <c r="B20" s="187"/>
      <c r="C20" s="188"/>
      <c r="D20" s="198" t="s">
        <v>61</v>
      </c>
      <c r="E20" s="190">
        <v>12118.84</v>
      </c>
      <c r="F20" s="153"/>
      <c r="G20" s="239"/>
      <c r="H20" s="240"/>
      <c r="I20" s="30"/>
      <c r="J20" s="25"/>
      <c r="K20" s="31"/>
      <c r="L20" s="294"/>
      <c r="M20" s="294"/>
    </row>
    <row r="21" spans="2:18">
      <c r="B21" s="187"/>
      <c r="C21" s="188"/>
      <c r="D21" s="198" t="s">
        <v>57</v>
      </c>
      <c r="E21" s="190">
        <v>11368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</row>
    <row r="22" spans="2:18">
      <c r="B22" s="187"/>
      <c r="C22" s="188"/>
      <c r="D22" s="198" t="s">
        <v>61</v>
      </c>
      <c r="E22" s="190">
        <v>3480</v>
      </c>
      <c r="F22" s="153"/>
      <c r="G22" s="44">
        <v>17295.04</v>
      </c>
      <c r="H22" s="29" t="s">
        <v>10</v>
      </c>
      <c r="I22" s="30"/>
      <c r="J22" s="25">
        <v>11107</v>
      </c>
      <c r="K22" s="31" t="s">
        <v>188</v>
      </c>
      <c r="L22" s="294"/>
      <c r="M22" s="294"/>
      <c r="O22" s="235"/>
    </row>
    <row r="23" spans="2:18">
      <c r="B23" s="187"/>
      <c r="C23" s="188"/>
      <c r="D23" s="198" t="s">
        <v>61</v>
      </c>
      <c r="E23" s="190">
        <v>114378.29</v>
      </c>
      <c r="F23" s="153"/>
      <c r="G23" s="44">
        <v>26212.959999999999</v>
      </c>
      <c r="H23" s="29" t="s">
        <v>18</v>
      </c>
      <c r="I23" s="30"/>
      <c r="J23" s="25"/>
      <c r="K23" s="31"/>
    </row>
    <row r="24" spans="2:18" ht="15" thickBot="1">
      <c r="B24" s="46" t="s">
        <v>17</v>
      </c>
      <c r="C24" s="47"/>
      <c r="D24" s="48"/>
      <c r="E24" s="234">
        <v>0</v>
      </c>
      <c r="F24" s="220"/>
      <c r="G24" s="51"/>
      <c r="H24" s="34"/>
      <c r="I24" s="30"/>
      <c r="J24" s="210"/>
      <c r="K24" s="53"/>
      <c r="N24" s="290"/>
    </row>
    <row r="25" spans="2:18" ht="15" thickBot="1">
      <c r="B25" s="202" t="s">
        <v>58</v>
      </c>
      <c r="C25" s="203"/>
      <c r="D25" s="204"/>
      <c r="E25" s="234">
        <v>0</v>
      </c>
      <c r="F25" s="153">
        <f>+F17-E24</f>
        <v>1801714.8199999998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199" t="s">
        <v>22</v>
      </c>
      <c r="C26" s="200"/>
      <c r="D26" s="201"/>
      <c r="E26" s="234">
        <v>0</v>
      </c>
      <c r="F26" s="288">
        <f>SUM(E24:E30)</f>
        <v>0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366</v>
      </c>
      <c r="C27" s="200"/>
      <c r="D27" s="201"/>
      <c r="E27" s="234">
        <v>0</v>
      </c>
      <c r="F27" s="153">
        <f>+F25-F26</f>
        <v>1801714.8199999998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199" t="s">
        <v>80</v>
      </c>
      <c r="C28" s="200"/>
      <c r="D28" s="201"/>
      <c r="E28" s="49">
        <v>0</v>
      </c>
      <c r="F28" s="221"/>
      <c r="G28" s="22">
        <v>4153.6400000000003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344" t="s">
        <v>69</v>
      </c>
      <c r="C29" s="345"/>
      <c r="D29" s="346"/>
      <c r="E29" s="49">
        <v>0</v>
      </c>
      <c r="F29" s="220"/>
      <c r="G29" s="22">
        <v>974.2</v>
      </c>
      <c r="H29" s="62" t="s">
        <v>26</v>
      </c>
      <c r="I29" s="63"/>
      <c r="J29" s="64" t="s">
        <v>27</v>
      </c>
      <c r="K29" s="65" t="s">
        <v>28</v>
      </c>
    </row>
    <row r="30" spans="2:18" ht="15" thickBot="1">
      <c r="B30" s="363" t="s">
        <v>29</v>
      </c>
      <c r="C30" s="364"/>
      <c r="D30" s="365"/>
      <c r="E30" s="66">
        <v>0</v>
      </c>
      <c r="F30" s="220"/>
      <c r="G30" s="67">
        <v>1768.74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E31" s="79"/>
      <c r="F31" s="220"/>
      <c r="G31" s="71">
        <v>7229.59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79"/>
      <c r="F32" s="220"/>
      <c r="N32" s="269"/>
      <c r="P32" s="155"/>
      <c r="R32" s="155"/>
    </row>
    <row r="33" spans="2:18">
      <c r="E33" s="79"/>
      <c r="F33" s="220"/>
    </row>
    <row r="34" spans="2:18">
      <c r="E34" s="79"/>
      <c r="F34" s="220"/>
      <c r="H34" s="61"/>
      <c r="I34" s="61"/>
      <c r="J34" s="13"/>
      <c r="K34" s="61"/>
      <c r="L34" s="61"/>
      <c r="M34" s="61"/>
      <c r="N34" s="269"/>
      <c r="P34" s="155"/>
      <c r="R34" s="155"/>
    </row>
    <row r="35" spans="2:18">
      <c r="B35" s="61"/>
      <c r="C35" s="61"/>
      <c r="D35" s="61"/>
      <c r="E35" s="181" t="s">
        <v>354</v>
      </c>
      <c r="F35" s="220"/>
      <c r="H35" s="61"/>
      <c r="I35" s="61"/>
      <c r="J35" s="13"/>
      <c r="K35" s="61"/>
      <c r="L35" s="61"/>
      <c r="M35" s="61"/>
    </row>
    <row r="36" spans="2:18" s="61" customFormat="1" ht="15" customHeight="1">
      <c r="E36" s="181"/>
      <c r="F36" s="222"/>
      <c r="G36" s="8"/>
      <c r="H36" s="13"/>
      <c r="J36" s="13"/>
      <c r="K36" s="83"/>
      <c r="L36" s="88"/>
      <c r="N36" s="272"/>
      <c r="P36" s="273"/>
      <c r="R36" s="273"/>
    </row>
    <row r="37" spans="2:18" s="61" customFormat="1" ht="15" customHeight="1">
      <c r="E37" s="8" t="s">
        <v>34</v>
      </c>
      <c r="F37" s="222"/>
      <c r="G37" s="181"/>
      <c r="H37" s="161"/>
      <c r="I37" s="197"/>
      <c r="J37" s="13"/>
      <c r="K37" s="83"/>
      <c r="L37" s="161"/>
      <c r="M37" s="197"/>
    </row>
    <row r="38" spans="2:18" s="61" customFormat="1" ht="15" customHeight="1">
      <c r="E38" s="8" t="s">
        <v>35</v>
      </c>
      <c r="F38" s="222">
        <f>F17</f>
        <v>1801714.8199999998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2:18" s="61" customFormat="1" ht="15" customHeight="1">
      <c r="E39" s="8" t="s">
        <v>36</v>
      </c>
      <c r="F39" s="222">
        <f>+E17</f>
        <v>14126.170000000002</v>
      </c>
      <c r="G39" s="86"/>
      <c r="I39" s="197"/>
      <c r="J39" s="13"/>
      <c r="K39" s="85"/>
      <c r="M39" s="197"/>
    </row>
    <row r="40" spans="2:18" s="61" customFormat="1" ht="15" customHeight="1">
      <c r="E40" s="8" t="s">
        <v>37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2:18" s="61" customFormat="1" ht="15" customHeight="1">
      <c r="E41" s="182" t="s">
        <v>38</v>
      </c>
      <c r="F41" s="222">
        <v>0</v>
      </c>
      <c r="G41" s="9"/>
      <c r="I41" s="197"/>
      <c r="J41" s="13"/>
      <c r="M41" s="197"/>
    </row>
    <row r="42" spans="2:18" s="61" customFormat="1" ht="15" customHeight="1">
      <c r="E42" s="183"/>
      <c r="F42" s="223">
        <f>SUM(F38:F41)</f>
        <v>1815840.9899999998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183" t="s">
        <v>152</v>
      </c>
      <c r="F43" s="224"/>
      <c r="G43" s="9"/>
      <c r="H43" s="163"/>
      <c r="I43" s="229"/>
      <c r="J43" s="13"/>
      <c r="L43" s="163"/>
      <c r="M43" s="229"/>
    </row>
    <row r="44" spans="2:18" s="61" customFormat="1" ht="15" customHeight="1">
      <c r="E44" s="183" t="s">
        <v>355</v>
      </c>
      <c r="F44" s="224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2:18" s="61" customFormat="1" ht="15" customHeight="1">
      <c r="E45" s="183" t="s">
        <v>356</v>
      </c>
      <c r="F45" s="224">
        <v>1300000</v>
      </c>
      <c r="G45" s="9"/>
      <c r="H45" s="165"/>
      <c r="I45" s="230"/>
      <c r="J45" s="13"/>
    </row>
    <row r="46" spans="2:18" s="61" customFormat="1" ht="15" customHeight="1">
      <c r="E46" s="183" t="s">
        <v>64</v>
      </c>
      <c r="F46" s="224">
        <v>120000</v>
      </c>
      <c r="G46" s="9"/>
      <c r="H46" s="165"/>
      <c r="I46" s="230"/>
      <c r="J46" s="13"/>
    </row>
    <row r="47" spans="2:18" s="61" customFormat="1" ht="15" customHeight="1">
      <c r="E47" s="183" t="s">
        <v>69</v>
      </c>
      <c r="F47" s="224">
        <v>0</v>
      </c>
      <c r="G47" s="9"/>
      <c r="H47" s="165"/>
      <c r="I47" s="230"/>
      <c r="J47" s="13"/>
    </row>
    <row r="48" spans="2:18" s="61" customFormat="1" ht="15" customHeight="1">
      <c r="E48" s="116" t="s">
        <v>24</v>
      </c>
      <c r="F48" s="224">
        <v>60000</v>
      </c>
      <c r="G48" s="9"/>
      <c r="H48" s="165"/>
      <c r="I48" s="230"/>
      <c r="J48" s="13"/>
    </row>
    <row r="49" spans="2:13" s="61" customFormat="1" ht="15" customHeight="1">
      <c r="E49" s="116" t="s">
        <v>22</v>
      </c>
      <c r="F49" s="220">
        <v>0</v>
      </c>
      <c r="G49" s="9"/>
      <c r="H49" s="165"/>
      <c r="I49" s="230"/>
      <c r="J49" s="13"/>
    </row>
    <row r="50" spans="2:13" s="61" customFormat="1">
      <c r="E50" s="116" t="s">
        <v>40</v>
      </c>
      <c r="F50" s="220">
        <v>50000</v>
      </c>
      <c r="G50" s="8"/>
      <c r="H50" s="91"/>
      <c r="I50" s="231"/>
      <c r="J50" s="13"/>
    </row>
    <row r="51" spans="2:13" s="61" customFormat="1">
      <c r="E51" s="118" t="s">
        <v>41</v>
      </c>
      <c r="F51" s="226">
        <f>200000-90000-60000</f>
        <v>50000</v>
      </c>
      <c r="G51" s="8"/>
      <c r="H51" s="96"/>
      <c r="I51" s="231"/>
      <c r="J51" s="262"/>
    </row>
    <row r="52" spans="2:13" s="61" customFormat="1">
      <c r="E52" s="118" t="s">
        <v>42</v>
      </c>
      <c r="F52" s="225">
        <f>SUM(F44:F51)</f>
        <v>1705000</v>
      </c>
      <c r="G52" s="82"/>
      <c r="H52" s="83"/>
      <c r="I52" s="228"/>
      <c r="J52" s="13"/>
    </row>
    <row r="53" spans="2:13" s="61" customFormat="1">
      <c r="E53" s="8"/>
      <c r="F53" s="225">
        <f>F42-F52</f>
        <v>110840.98999999976</v>
      </c>
      <c r="G53" s="82"/>
      <c r="H53" s="83"/>
      <c r="I53" s="233"/>
      <c r="J53" s="13"/>
      <c r="L53" s="91"/>
      <c r="M53" s="232"/>
    </row>
    <row r="54" spans="2:13" s="61" customFormat="1">
      <c r="E54" s="82" t="s">
        <v>43</v>
      </c>
      <c r="F54" s="154"/>
      <c r="G54" s="82"/>
      <c r="H54" s="83"/>
      <c r="I54" s="233"/>
      <c r="J54" s="13"/>
      <c r="L54" s="91"/>
      <c r="M54" s="232"/>
    </row>
    <row r="55" spans="2:13" s="61" customFormat="1">
      <c r="E55" s="82" t="s">
        <v>44</v>
      </c>
      <c r="F55" s="80">
        <f>43800+180000</f>
        <v>223800</v>
      </c>
      <c r="G55" s="82"/>
      <c r="H55" s="83"/>
      <c r="I55" s="233"/>
      <c r="J55" s="13"/>
      <c r="L55" s="96"/>
      <c r="M55" s="231"/>
    </row>
    <row r="56" spans="2:13" s="61" customFormat="1">
      <c r="E56" s="82" t="s">
        <v>45</v>
      </c>
      <c r="F56" s="80">
        <v>365000</v>
      </c>
      <c r="G56" s="82"/>
      <c r="H56" s="96"/>
      <c r="I56" s="228"/>
      <c r="J56" s="13"/>
      <c r="L56" s="96"/>
      <c r="M56" s="233"/>
    </row>
    <row r="57" spans="2:13" s="61" customFormat="1">
      <c r="E57" s="82" t="s">
        <v>205</v>
      </c>
      <c r="F57" s="117">
        <v>0</v>
      </c>
      <c r="G57" s="82"/>
      <c r="H57" s="83"/>
      <c r="I57" s="233"/>
      <c r="J57" s="13"/>
    </row>
    <row r="58" spans="2:13" s="61" customFormat="1">
      <c r="B58"/>
      <c r="C58"/>
      <c r="D58"/>
      <c r="E58" s="82" t="s">
        <v>206</v>
      </c>
      <c r="F58" s="117">
        <v>0</v>
      </c>
      <c r="G58"/>
      <c r="H58" s="96"/>
      <c r="I58" s="219"/>
      <c r="J58" s="13"/>
      <c r="L58" s="83"/>
      <c r="M58" s="228"/>
    </row>
    <row r="59" spans="2:13">
      <c r="E59" s="118" t="s">
        <v>46</v>
      </c>
      <c r="F59" s="117">
        <v>0</v>
      </c>
      <c r="H59" s="61"/>
      <c r="I59" s="61"/>
      <c r="J59" s="13"/>
      <c r="K59" s="61"/>
      <c r="L59" s="61"/>
      <c r="M59" s="61"/>
    </row>
    <row r="60" spans="2:13">
      <c r="E60" s="82"/>
      <c r="F60" s="120">
        <f>SUM(F55:F59)</f>
        <v>588800</v>
      </c>
      <c r="H60" s="61"/>
      <c r="I60" s="61"/>
      <c r="J60" s="13"/>
      <c r="K60" s="61"/>
      <c r="L60" s="61"/>
      <c r="M60" s="61"/>
    </row>
    <row r="61" spans="2:13">
      <c r="E61" s="118" t="s">
        <v>47</v>
      </c>
      <c r="F61" s="80"/>
    </row>
    <row r="62" spans="2:13">
      <c r="D62" s="247" t="s">
        <v>192</v>
      </c>
      <c r="E62" s="8"/>
      <c r="F62" s="120">
        <f>F53-F60</f>
        <v>-477959.01000000024</v>
      </c>
      <c r="G62" s="8"/>
    </row>
    <row r="63" spans="2:13">
      <c r="D63" s="247" t="s">
        <v>194</v>
      </c>
      <c r="E63" s="8"/>
      <c r="F63" s="220"/>
      <c r="G63" s="8"/>
    </row>
    <row r="64" spans="2:13">
      <c r="D64" s="8" t="s">
        <v>9</v>
      </c>
      <c r="E64" s="8"/>
      <c r="G64" s="8"/>
    </row>
    <row r="65" spans="1:7">
      <c r="D65" s="8" t="s">
        <v>195</v>
      </c>
      <c r="E65" s="8"/>
      <c r="G65" s="8"/>
    </row>
    <row r="66" spans="1:7">
      <c r="D66" s="8" t="s">
        <v>188</v>
      </c>
      <c r="E66" s="247"/>
      <c r="G66" s="124">
        <f>SUM(E72:F72)</f>
        <v>0</v>
      </c>
    </row>
    <row r="67" spans="1:7">
      <c r="D67" s="8"/>
      <c r="E67" s="247"/>
      <c r="F67" s="275"/>
      <c r="G67" s="8"/>
    </row>
    <row r="68" spans="1:7">
      <c r="E68" s="249"/>
      <c r="F68" s="286"/>
    </row>
    <row r="69" spans="1:7">
      <c r="E69" s="249"/>
      <c r="F69" s="246"/>
    </row>
    <row r="70" spans="1:7">
      <c r="E70" s="249"/>
      <c r="F70" s="287"/>
    </row>
    <row r="71" spans="1:7">
      <c r="E71" s="124"/>
      <c r="F71" s="287"/>
    </row>
    <row r="72" spans="1:7">
      <c r="E72" s="8"/>
      <c r="F72" s="287"/>
    </row>
    <row r="73" spans="1:7">
      <c r="E73" s="8"/>
    </row>
    <row r="74" spans="1:7">
      <c r="A74" s="268"/>
      <c r="E74" s="8"/>
    </row>
    <row r="75" spans="1:7">
      <c r="E75" s="8"/>
    </row>
    <row r="76" spans="1:7">
      <c r="B76" s="235"/>
      <c r="E76" s="8"/>
    </row>
    <row r="77" spans="1:7">
      <c r="E77" s="8"/>
    </row>
    <row r="78" spans="1:7">
      <c r="E78" s="293"/>
    </row>
    <row r="79" spans="1:7">
      <c r="C79" s="155"/>
      <c r="E79" s="8"/>
    </row>
    <row r="80" spans="1:7">
      <c r="A80" s="269"/>
      <c r="E80" s="293"/>
    </row>
    <row r="81" spans="1:5">
      <c r="C81" s="155"/>
      <c r="E81" s="8"/>
    </row>
    <row r="82" spans="1:5">
      <c r="A82" s="269"/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77"/>
    </row>
    <row r="111" spans="1:5">
      <c r="C111" s="155"/>
      <c r="E111" s="79"/>
    </row>
    <row r="112" spans="1:5">
      <c r="A112" s="269"/>
      <c r="E112" s="277"/>
    </row>
    <row r="113" spans="1:5">
      <c r="C113" s="155"/>
      <c r="E113" s="79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</row>
    <row r="124" spans="1:5">
      <c r="A124" s="269"/>
      <c r="E124" s="155"/>
    </row>
    <row r="125" spans="1:5">
      <c r="C125" s="155"/>
    </row>
    <row r="126" spans="1:5">
      <c r="A126" s="269"/>
      <c r="E126" s="155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D199" s="155"/>
    </row>
    <row r="200" spans="1:5">
      <c r="A200" s="269"/>
      <c r="E200" s="155"/>
    </row>
    <row r="201" spans="1:5">
      <c r="C201" s="155"/>
    </row>
    <row r="202" spans="1:5">
      <c r="A202" s="269"/>
      <c r="E202" s="155"/>
    </row>
    <row r="203" spans="1:5">
      <c r="C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3">
      <c r="C209" s="155"/>
    </row>
    <row r="210" spans="1:3">
      <c r="A210" s="269"/>
    </row>
  </sheetData>
  <mergeCells count="15">
    <mergeCell ref="B15:D15"/>
    <mergeCell ref="G15:H15"/>
    <mergeCell ref="J15:K15"/>
    <mergeCell ref="E10:F10"/>
    <mergeCell ref="B12:D12"/>
    <mergeCell ref="B13:D13"/>
    <mergeCell ref="B14:D14"/>
    <mergeCell ref="G14:K14"/>
    <mergeCell ref="B30:D30"/>
    <mergeCell ref="B17:D17"/>
    <mergeCell ref="B18:D18"/>
    <mergeCell ref="G21:H21"/>
    <mergeCell ref="G25:K25"/>
    <mergeCell ref="G27:H27"/>
    <mergeCell ref="B29:D29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5AC36-CB7F-4F4A-8E49-44D50884D7AD}">
  <dimension ref="B6:P61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79" customWidth="1"/>
    <col min="7" max="7" width="15.7265625" customWidth="1"/>
    <col min="8" max="8" width="19.7265625" customWidth="1"/>
    <col min="9" max="9" width="1.453125" customWidth="1"/>
    <col min="10" max="10" width="24.26953125" customWidth="1"/>
    <col min="11" max="11" width="22.26953125" bestFit="1" customWidth="1"/>
    <col min="12" max="12" width="20.26953125" bestFit="1" customWidth="1"/>
    <col min="13" max="13" width="16.269531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3" s="8" customFormat="1" ht="18">
      <c r="B6" s="5"/>
      <c r="C6" s="5"/>
      <c r="D6" s="5"/>
      <c r="E6" s="6" t="s">
        <v>0</v>
      </c>
      <c r="F6" s="7"/>
      <c r="G6" s="5"/>
      <c r="H6" s="5"/>
      <c r="I6" s="5"/>
      <c r="J6" s="5"/>
      <c r="K6" s="5"/>
    </row>
    <row r="7" spans="2:13">
      <c r="B7" s="1"/>
      <c r="C7" s="1"/>
      <c r="D7" s="1"/>
      <c r="E7" s="1"/>
      <c r="F7" s="2"/>
      <c r="G7" s="1"/>
      <c r="H7" s="1"/>
      <c r="I7" s="1"/>
      <c r="J7" s="1"/>
      <c r="K7" s="1"/>
    </row>
    <row r="8" spans="2:13">
      <c r="B8" s="1"/>
      <c r="C8" s="1"/>
      <c r="D8" s="1"/>
      <c r="E8" s="1"/>
      <c r="F8" s="2"/>
      <c r="G8" s="1"/>
      <c r="H8" s="1"/>
      <c r="I8" s="4"/>
      <c r="J8" s="1"/>
      <c r="K8" s="76">
        <v>1346867</v>
      </c>
    </row>
    <row r="9" spans="2:13">
      <c r="B9" s="1"/>
      <c r="C9" s="1"/>
      <c r="D9" s="1"/>
      <c r="E9" s="1"/>
      <c r="F9" s="2"/>
      <c r="G9" s="1"/>
      <c r="H9" s="1"/>
      <c r="I9" s="4"/>
      <c r="J9" s="1"/>
      <c r="K9" s="1"/>
    </row>
    <row r="10" spans="2:13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3" ht="15" thickBot="1">
      <c r="B11" s="1"/>
      <c r="C11" s="1"/>
      <c r="D11" s="1"/>
      <c r="E11" s="1"/>
      <c r="F11" s="2"/>
      <c r="G11" s="1"/>
      <c r="H11" s="1"/>
      <c r="I11" s="1"/>
      <c r="J11" s="1"/>
      <c r="K11" s="1"/>
    </row>
    <row r="12" spans="2:13" ht="18" thickBot="1">
      <c r="B12" s="331" t="s">
        <v>2</v>
      </c>
      <c r="C12" s="332"/>
      <c r="D12" s="332"/>
      <c r="E12" s="333"/>
      <c r="F12" s="12"/>
      <c r="G12" s="1"/>
      <c r="H12" s="1"/>
      <c r="I12" s="1"/>
      <c r="J12" s="1"/>
      <c r="K12" s="1"/>
      <c r="L12" s="13"/>
      <c r="M12" t="s">
        <v>20</v>
      </c>
    </row>
    <row r="13" spans="2:13" ht="18" thickBot="1">
      <c r="B13" s="1"/>
      <c r="C13" s="1"/>
      <c r="D13" s="1"/>
      <c r="E13" s="1"/>
      <c r="F13" s="123"/>
      <c r="G13" s="11"/>
      <c r="H13" s="11"/>
      <c r="I13" s="11"/>
      <c r="J13" s="15"/>
      <c r="K13" s="16"/>
      <c r="L13" s="13"/>
    </row>
    <row r="14" spans="2:13" ht="15" thickBot="1">
      <c r="B14" s="334" t="s">
        <v>3</v>
      </c>
      <c r="C14" s="335"/>
      <c r="D14" s="336"/>
      <c r="E14" s="17">
        <f>SUM(E15:E17)</f>
        <v>272487.67</v>
      </c>
      <c r="F14" s="18"/>
      <c r="G14" s="331" t="s">
        <v>4</v>
      </c>
      <c r="H14" s="332"/>
      <c r="I14" s="332"/>
      <c r="J14" s="332"/>
      <c r="K14" s="333"/>
      <c r="L14" s="19"/>
    </row>
    <row r="15" spans="2:13">
      <c r="B15" s="337" t="s">
        <v>5</v>
      </c>
      <c r="C15" s="338"/>
      <c r="D15" s="339"/>
      <c r="E15" s="20">
        <f>J16+J17+J18+J19</f>
        <v>125506.85999999999</v>
      </c>
      <c r="F15" s="108">
        <f>E15+E16+E17</f>
        <v>272487.67</v>
      </c>
      <c r="G15" s="340" t="s">
        <v>6</v>
      </c>
      <c r="H15" s="341"/>
      <c r="I15" s="21"/>
      <c r="J15" s="342" t="s">
        <v>5</v>
      </c>
      <c r="K15" s="343"/>
      <c r="L15" s="13"/>
    </row>
    <row r="16" spans="2:13">
      <c r="B16" s="349" t="s">
        <v>7</v>
      </c>
      <c r="C16" s="350"/>
      <c r="D16" s="351"/>
      <c r="E16" s="20">
        <f>G21+G22</f>
        <v>60714.55</v>
      </c>
      <c r="F16" s="108">
        <v>90000</v>
      </c>
      <c r="G16" s="22">
        <v>14296.79</v>
      </c>
      <c r="H16" s="23" t="s">
        <v>8</v>
      </c>
      <c r="I16" s="24"/>
      <c r="J16" s="25">
        <v>10325.290000000001</v>
      </c>
      <c r="K16" s="26" t="s">
        <v>9</v>
      </c>
      <c r="L16" s="13"/>
    </row>
    <row r="17" spans="2:14">
      <c r="B17" s="352" t="s">
        <v>6</v>
      </c>
      <c r="C17" s="353"/>
      <c r="D17" s="354"/>
      <c r="E17" s="28">
        <f>G16+G17+G18</f>
        <v>86266.26</v>
      </c>
      <c r="F17" s="108">
        <f>F15-F16</f>
        <v>182487.66999999998</v>
      </c>
      <c r="G17" s="22">
        <v>47539.42</v>
      </c>
      <c r="H17" s="29" t="s">
        <v>10</v>
      </c>
      <c r="I17" s="30"/>
      <c r="J17" s="25">
        <v>86619.79</v>
      </c>
      <c r="K17" s="31" t="s">
        <v>10</v>
      </c>
      <c r="L17" s="13"/>
    </row>
    <row r="18" spans="2:14">
      <c r="B18" s="355" t="s">
        <v>11</v>
      </c>
      <c r="C18" s="356"/>
      <c r="D18" s="357"/>
      <c r="E18" s="20">
        <f>G28+G30+G29+G27</f>
        <v>1720656.2599999998</v>
      </c>
      <c r="F18" s="109"/>
      <c r="G18" s="22">
        <v>24430.05</v>
      </c>
      <c r="H18" s="29" t="s">
        <v>12</v>
      </c>
      <c r="I18" s="30"/>
      <c r="J18" s="25">
        <v>9928.76</v>
      </c>
      <c r="K18" s="31" t="s">
        <v>12</v>
      </c>
      <c r="L18" s="32"/>
    </row>
    <row r="19" spans="2:14">
      <c r="B19" s="344" t="s">
        <v>13</v>
      </c>
      <c r="C19" s="345"/>
      <c r="D19" s="346"/>
      <c r="E19" s="20">
        <v>11859409.460000001</v>
      </c>
      <c r="F19" s="108"/>
      <c r="G19" s="33"/>
      <c r="H19" s="34"/>
      <c r="I19" s="30"/>
      <c r="J19" s="25">
        <v>18633.02</v>
      </c>
      <c r="K19" s="31" t="s">
        <v>14</v>
      </c>
      <c r="L19" s="13"/>
    </row>
    <row r="20" spans="2:14">
      <c r="B20" s="358" t="s">
        <v>15</v>
      </c>
      <c r="C20" s="359"/>
      <c r="D20" s="360"/>
      <c r="E20" s="35">
        <f>SUM(E21:E22)</f>
        <v>64871.199999999997</v>
      </c>
      <c r="F20" s="14"/>
      <c r="G20" s="361" t="s">
        <v>16</v>
      </c>
      <c r="H20" s="362"/>
      <c r="I20" s="36"/>
      <c r="J20" s="37"/>
      <c r="K20" s="38"/>
      <c r="L20" s="39"/>
    </row>
    <row r="21" spans="2:14">
      <c r="B21" s="40"/>
      <c r="C21" s="41"/>
      <c r="D21" s="122" t="s">
        <v>87</v>
      </c>
      <c r="E21" s="43">
        <v>35407.199999999997</v>
      </c>
      <c r="F21" s="14"/>
      <c r="G21" s="44">
        <v>14063.16</v>
      </c>
      <c r="H21" s="29" t="s">
        <v>10</v>
      </c>
      <c r="I21" s="30"/>
      <c r="J21" s="37"/>
      <c r="K21" s="45"/>
      <c r="L21" s="39"/>
    </row>
    <row r="22" spans="2:14">
      <c r="B22" s="40"/>
      <c r="C22" s="41"/>
      <c r="D22" s="122" t="s">
        <v>88</v>
      </c>
      <c r="E22" s="43">
        <v>29464</v>
      </c>
      <c r="F22" s="14"/>
      <c r="G22" s="44">
        <v>46651.39</v>
      </c>
      <c r="H22" s="29" t="s">
        <v>18</v>
      </c>
      <c r="I22" s="30"/>
      <c r="J22" s="50"/>
      <c r="K22" s="38"/>
      <c r="L22" s="39"/>
    </row>
    <row r="23" spans="2:14" ht="15" thickBot="1">
      <c r="B23" s="46" t="s">
        <v>17</v>
      </c>
      <c r="C23" s="47"/>
      <c r="D23" s="48"/>
      <c r="E23" s="49">
        <v>50000</v>
      </c>
      <c r="F23" s="14"/>
      <c r="G23" s="51"/>
      <c r="H23" s="34"/>
      <c r="I23" s="30"/>
      <c r="J23" s="52"/>
      <c r="K23" s="53"/>
      <c r="L23" s="39"/>
      <c r="N23" t="s">
        <v>20</v>
      </c>
    </row>
    <row r="24" spans="2:14" ht="15" thickBot="1">
      <c r="B24" s="366" t="s">
        <v>83</v>
      </c>
      <c r="C24" s="367"/>
      <c r="D24" s="368"/>
      <c r="E24" s="49">
        <v>0</v>
      </c>
      <c r="F24" s="8"/>
      <c r="G24" s="331" t="s">
        <v>21</v>
      </c>
      <c r="H24" s="332"/>
      <c r="I24" s="332"/>
      <c r="J24" s="332"/>
      <c r="K24" s="333"/>
      <c r="L24" s="39"/>
    </row>
    <row r="25" spans="2:14">
      <c r="B25" s="344" t="s">
        <v>78</v>
      </c>
      <c r="C25" s="345"/>
      <c r="D25" s="346"/>
      <c r="E25" s="49">
        <v>0</v>
      </c>
      <c r="F25" s="8"/>
      <c r="G25" s="54"/>
      <c r="H25" s="55"/>
      <c r="I25" s="56"/>
      <c r="J25" s="57"/>
      <c r="K25" s="58"/>
      <c r="L25" s="39"/>
    </row>
    <row r="26" spans="2:14">
      <c r="B26" s="344" t="s">
        <v>22</v>
      </c>
      <c r="C26" s="345"/>
      <c r="D26" s="346"/>
      <c r="E26" s="49">
        <v>0</v>
      </c>
      <c r="F26" s="8"/>
      <c r="G26" s="347" t="s">
        <v>5</v>
      </c>
      <c r="H26" s="348"/>
      <c r="I26" s="59"/>
      <c r="J26" s="60"/>
      <c r="K26" s="45"/>
      <c r="L26" s="61"/>
    </row>
    <row r="27" spans="2:14">
      <c r="B27" s="344" t="s">
        <v>80</v>
      </c>
      <c r="C27" s="345"/>
      <c r="D27" s="346"/>
      <c r="E27" s="49">
        <v>1760000</v>
      </c>
      <c r="F27" s="14">
        <v>0</v>
      </c>
      <c r="G27" s="22">
        <f>11582.21-11500</f>
        <v>82.209999999999127</v>
      </c>
      <c r="H27" s="62" t="s">
        <v>9</v>
      </c>
      <c r="I27" s="59"/>
      <c r="J27" s="60"/>
      <c r="K27" s="45"/>
      <c r="L27" s="61"/>
    </row>
    <row r="28" spans="2:14">
      <c r="B28" s="344" t="s">
        <v>24</v>
      </c>
      <c r="C28" s="345"/>
      <c r="D28" s="346"/>
      <c r="E28" s="49">
        <v>0</v>
      </c>
      <c r="F28" s="14">
        <v>40000</v>
      </c>
      <c r="G28" s="22">
        <v>42077.98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4">
      <c r="B29" s="344" t="s">
        <v>25</v>
      </c>
      <c r="C29" s="345"/>
      <c r="D29" s="346"/>
      <c r="E29" s="49">
        <v>0</v>
      </c>
      <c r="F29" s="14">
        <v>30000</v>
      </c>
      <c r="G29" s="67">
        <v>31323.91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4" ht="15" thickBot="1">
      <c r="B30" s="363" t="s">
        <v>29</v>
      </c>
      <c r="C30" s="364"/>
      <c r="D30" s="365"/>
      <c r="E30" s="66">
        <v>0</v>
      </c>
      <c r="F30" s="14">
        <v>1640000</v>
      </c>
      <c r="G30" s="71">
        <v>1647172.16</v>
      </c>
      <c r="H30" s="72" t="s">
        <v>12</v>
      </c>
      <c r="I30" s="73"/>
      <c r="J30" s="74" t="s">
        <v>32</v>
      </c>
      <c r="K30" s="75" t="s">
        <v>33</v>
      </c>
      <c r="L30" s="61"/>
    </row>
    <row r="31" spans="2:14">
      <c r="B31" s="69"/>
      <c r="C31" s="69"/>
      <c r="D31" s="70"/>
      <c r="E31" s="70"/>
      <c r="F31" s="124">
        <f>SUM(F27:F30)</f>
        <v>1710000</v>
      </c>
      <c r="G31" s="76"/>
      <c r="H31" s="76"/>
      <c r="I31" s="76"/>
      <c r="J31" s="76"/>
      <c r="K31" s="1"/>
      <c r="L31" s="77"/>
    </row>
    <row r="34" spans="5:7">
      <c r="E34" s="110" t="s">
        <v>86</v>
      </c>
      <c r="F34" s="110"/>
    </row>
    <row r="35" spans="5:7">
      <c r="E35" s="110"/>
      <c r="F35" s="110"/>
    </row>
    <row r="36" spans="5:7">
      <c r="E36" s="82" t="s">
        <v>34</v>
      </c>
      <c r="F36" s="86">
        <f>F17</f>
        <v>182487.66999999998</v>
      </c>
    </row>
    <row r="37" spans="5:7">
      <c r="E37" s="82" t="s">
        <v>35</v>
      </c>
      <c r="F37" s="86">
        <f>+F31</f>
        <v>1710000</v>
      </c>
    </row>
    <row r="38" spans="5:7" s="61" customFormat="1" ht="15" customHeight="1">
      <c r="E38" s="82" t="s">
        <v>36</v>
      </c>
      <c r="F38" s="86">
        <v>0</v>
      </c>
      <c r="G38" s="8"/>
    </row>
    <row r="39" spans="5:7" s="61" customFormat="1" ht="15" customHeight="1">
      <c r="E39" s="82" t="s">
        <v>37</v>
      </c>
      <c r="F39" s="86">
        <v>0</v>
      </c>
      <c r="G39" s="86"/>
    </row>
    <row r="40" spans="5:7" s="61" customFormat="1" ht="15" customHeight="1">
      <c r="E40" s="112" t="s">
        <v>38</v>
      </c>
      <c r="F40" s="111">
        <f>SUM(F36:F39)</f>
        <v>1892487.67</v>
      </c>
      <c r="G40" s="86"/>
    </row>
    <row r="41" spans="5:7" s="61" customFormat="1" ht="15" customHeight="1">
      <c r="E41" s="113"/>
      <c r="F41" s="94"/>
      <c r="G41" s="86"/>
    </row>
    <row r="42" spans="5:7" s="61" customFormat="1" ht="15" customHeight="1">
      <c r="E42" s="114" t="s">
        <v>65</v>
      </c>
      <c r="F42" s="94">
        <v>75000</v>
      </c>
      <c r="G42" s="86"/>
    </row>
    <row r="43" spans="5:7" s="61" customFormat="1" ht="15" customHeight="1">
      <c r="E43" s="114" t="s">
        <v>82</v>
      </c>
      <c r="F43" s="94">
        <v>0</v>
      </c>
      <c r="G43" s="9"/>
    </row>
    <row r="44" spans="5:7" s="61" customFormat="1" ht="15" customHeight="1">
      <c r="E44" s="113" t="s">
        <v>67</v>
      </c>
      <c r="F44" s="94">
        <v>0</v>
      </c>
      <c r="G44" s="9"/>
    </row>
    <row r="45" spans="5:7" s="61" customFormat="1" ht="15" customHeight="1">
      <c r="E45" s="115" t="s">
        <v>68</v>
      </c>
      <c r="F45" s="94">
        <v>0</v>
      </c>
      <c r="G45" s="9"/>
    </row>
    <row r="46" spans="5:7" s="61" customFormat="1" ht="15" customHeight="1">
      <c r="E46" s="116" t="s">
        <v>24</v>
      </c>
      <c r="F46" s="117">
        <v>0</v>
      </c>
      <c r="G46" s="94">
        <v>810000</v>
      </c>
    </row>
    <row r="47" spans="5:7" s="61" customFormat="1" ht="15" customHeight="1">
      <c r="E47" s="116" t="s">
        <v>39</v>
      </c>
      <c r="F47" s="117">
        <v>2000</v>
      </c>
      <c r="G47" s="9"/>
    </row>
    <row r="48" spans="5:7" s="61" customFormat="1" ht="15" customHeight="1">
      <c r="E48" s="116" t="s">
        <v>22</v>
      </c>
      <c r="F48" s="117">
        <f>100000+50000-20000</f>
        <v>130000</v>
      </c>
      <c r="G48" s="9"/>
    </row>
    <row r="49" spans="5:7" s="61" customFormat="1" ht="15" customHeight="1">
      <c r="E49" s="116" t="s">
        <v>69</v>
      </c>
      <c r="F49" s="117">
        <v>0</v>
      </c>
      <c r="G49" s="9"/>
    </row>
    <row r="50" spans="5:7" s="61" customFormat="1" ht="15" customHeight="1">
      <c r="E50" s="116" t="s">
        <v>81</v>
      </c>
      <c r="F50" s="117">
        <v>0</v>
      </c>
      <c r="G50" s="9"/>
    </row>
    <row r="51" spans="5:7" s="61" customFormat="1" ht="15" customHeight="1">
      <c r="E51" s="116" t="s">
        <v>80</v>
      </c>
      <c r="F51" s="117">
        <v>1760000</v>
      </c>
      <c r="G51" s="9"/>
    </row>
    <row r="52" spans="5:7" s="61" customFormat="1" ht="15" customHeight="1">
      <c r="E52" s="116" t="s">
        <v>40</v>
      </c>
      <c r="F52" s="94">
        <v>100000</v>
      </c>
      <c r="G52" s="9"/>
    </row>
    <row r="53" spans="5:7" s="61" customFormat="1" ht="15" customHeight="1">
      <c r="E53" s="118" t="s">
        <v>41</v>
      </c>
      <c r="F53" s="119">
        <f>SUM(F42:F52)</f>
        <v>2067000</v>
      </c>
      <c r="G53" s="82"/>
    </row>
    <row r="54" spans="5:7" s="61" customFormat="1" ht="15" customHeight="1">
      <c r="E54" s="118" t="s">
        <v>42</v>
      </c>
      <c r="F54" s="119">
        <f>F40-F53</f>
        <v>-174512.33000000007</v>
      </c>
      <c r="G54" s="82"/>
    </row>
    <row r="55" spans="5:7" s="61" customFormat="1" ht="15" customHeight="1">
      <c r="E55" s="82"/>
      <c r="F55" s="82"/>
      <c r="G55" s="8"/>
    </row>
    <row r="56" spans="5:7" s="61" customFormat="1">
      <c r="E56" s="82" t="s">
        <v>43</v>
      </c>
      <c r="F56" s="81">
        <f>43800+180000</f>
        <v>223800</v>
      </c>
      <c r="G56" s="8"/>
    </row>
    <row r="57" spans="5:7" s="61" customFormat="1">
      <c r="E57" s="82" t="s">
        <v>44</v>
      </c>
      <c r="F57" s="81">
        <v>0</v>
      </c>
      <c r="G57" s="8"/>
    </row>
    <row r="58" spans="5:7" s="61" customFormat="1">
      <c r="E58" s="82" t="s">
        <v>45</v>
      </c>
      <c r="F58" s="117">
        <v>0</v>
      </c>
      <c r="G58" s="8"/>
    </row>
    <row r="59" spans="5:7" s="61" customFormat="1">
      <c r="E59" s="118" t="s">
        <v>46</v>
      </c>
      <c r="F59" s="120">
        <f>SUM(F56:F58)</f>
        <v>223800</v>
      </c>
      <c r="G59" s="8"/>
    </row>
    <row r="60" spans="5:7" s="61" customFormat="1">
      <c r="E60" s="129"/>
      <c r="F60" s="129"/>
      <c r="G60" s="8"/>
    </row>
    <row r="61" spans="5:7" s="61" customFormat="1">
      <c r="E61" s="118" t="s">
        <v>47</v>
      </c>
      <c r="F61" s="121">
        <f>F54-F59</f>
        <v>-398312.33000000007</v>
      </c>
      <c r="G61" s="8"/>
    </row>
  </sheetData>
  <mergeCells count="22"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  <mergeCell ref="B28:D28"/>
    <mergeCell ref="B29:D29"/>
    <mergeCell ref="B30:D30"/>
    <mergeCell ref="B24:D24"/>
    <mergeCell ref="G24:K24"/>
    <mergeCell ref="B25:D25"/>
    <mergeCell ref="B26:D26"/>
    <mergeCell ref="G26:H26"/>
    <mergeCell ref="B27:D27"/>
  </mergeCells>
  <phoneticPr fontId="30" type="noConversion"/>
  <pageMargins left="0.7" right="0.7" top="0.75" bottom="0.75" header="0.3" footer="0.3"/>
  <drawing r:id="rId1"/>
  <legacy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B7B5C-25EB-4D57-9FA6-5D9A6D7445EC}">
  <dimension ref="A6:R210"/>
  <sheetViews>
    <sheetView showGridLines="0" topLeftCell="E11" workbookViewId="0">
      <selection activeCell="J17" sqref="J17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7.5">
      <c r="A12" s="11"/>
      <c r="B12" s="334" t="s">
        <v>3</v>
      </c>
      <c r="C12" s="335"/>
      <c r="D12" s="336"/>
      <c r="E12" s="17">
        <f>SUM(E13:E15)</f>
        <v>1803028.41</v>
      </c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337" t="s">
        <v>5</v>
      </c>
      <c r="C13" s="338"/>
      <c r="D13" s="339"/>
      <c r="E13" s="20">
        <f>J16+J17+J18+J19</f>
        <v>1679598.26</v>
      </c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49" t="s">
        <v>7</v>
      </c>
      <c r="C14" s="350"/>
      <c r="D14" s="351"/>
      <c r="E14" s="20">
        <f>G22+G23</f>
        <v>43508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52" t="s">
        <v>6</v>
      </c>
      <c r="C15" s="353"/>
      <c r="D15" s="354"/>
      <c r="E15" s="28">
        <f>G16+G17+G18</f>
        <v>79922.149999999994</v>
      </c>
      <c r="F15" s="153">
        <f>E13+E14+E15</f>
        <v>1803028.41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236" t="s">
        <v>187</v>
      </c>
      <c r="C16" s="237"/>
      <c r="D16" s="238"/>
      <c r="E16" s="28">
        <f>+J22</f>
        <v>11107</v>
      </c>
      <c r="F16" s="153">
        <v>90000</v>
      </c>
      <c r="G16" s="22">
        <v>11279.9</v>
      </c>
      <c r="H16" s="23" t="s">
        <v>8</v>
      </c>
      <c r="I16" s="24"/>
      <c r="J16" s="25">
        <v>18392.73</v>
      </c>
      <c r="K16" s="26" t="s">
        <v>9</v>
      </c>
      <c r="L16" s="13"/>
      <c r="N16" s="3"/>
    </row>
    <row r="17" spans="2:18">
      <c r="B17" s="379" t="s">
        <v>11</v>
      </c>
      <c r="C17" s="380"/>
      <c r="D17" s="381"/>
      <c r="E17" s="20">
        <f>G29+G31+G30+G28</f>
        <v>14129.57</v>
      </c>
      <c r="F17" s="153">
        <f>+F15-F16</f>
        <v>1713028.41</v>
      </c>
      <c r="G17" s="22">
        <v>6862.89</v>
      </c>
      <c r="H17" s="29" t="s">
        <v>10</v>
      </c>
      <c r="I17" s="30"/>
      <c r="J17" s="25">
        <v>155920.07999999999</v>
      </c>
      <c r="K17" s="31" t="s">
        <v>10</v>
      </c>
      <c r="N17" s="3"/>
    </row>
    <row r="18" spans="2:18">
      <c r="B18" s="344" t="s">
        <v>13</v>
      </c>
      <c r="C18" s="345"/>
      <c r="D18" s="346"/>
      <c r="E18" s="20">
        <v>16371242.779999999</v>
      </c>
      <c r="F18" s="153"/>
      <c r="G18" s="22">
        <v>61779.360000000001</v>
      </c>
      <c r="H18" s="29" t="s">
        <v>12</v>
      </c>
      <c r="I18" s="30"/>
      <c r="J18" s="25">
        <v>1484618.97</v>
      </c>
      <c r="K18" s="31" t="s">
        <v>12</v>
      </c>
      <c r="L18" s="152"/>
      <c r="N18" s="3"/>
    </row>
    <row r="19" spans="2:18">
      <c r="B19" s="187" t="s">
        <v>15</v>
      </c>
      <c r="C19" s="188"/>
      <c r="D19" s="189"/>
      <c r="E19" s="190">
        <f>SUM(E20:E23)</f>
        <v>21309.17</v>
      </c>
      <c r="F19" s="153"/>
      <c r="G19" s="33"/>
      <c r="H19" s="34"/>
      <c r="I19" s="30"/>
      <c r="J19" s="25">
        <v>20666.48</v>
      </c>
      <c r="K19" s="31" t="s">
        <v>14</v>
      </c>
      <c r="L19" s="294"/>
      <c r="M19" s="294"/>
      <c r="N19" s="268"/>
    </row>
    <row r="20" spans="2:18">
      <c r="B20" s="187"/>
      <c r="C20" s="188"/>
      <c r="D20" s="198" t="s">
        <v>365</v>
      </c>
      <c r="E20" s="190">
        <v>21309.17</v>
      </c>
      <c r="F20" s="153"/>
      <c r="G20" s="239"/>
      <c r="H20" s="240"/>
      <c r="I20" s="30"/>
      <c r="J20" s="25"/>
      <c r="K20" s="31"/>
      <c r="L20" s="294"/>
      <c r="M20" s="294"/>
    </row>
    <row r="21" spans="2:18">
      <c r="B21" s="187"/>
      <c r="C21" s="188"/>
      <c r="D21" s="198"/>
      <c r="E21" s="190"/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</row>
    <row r="22" spans="2:18">
      <c r="B22" s="187"/>
      <c r="C22" s="188"/>
      <c r="D22" s="198"/>
      <c r="E22" s="190"/>
      <c r="F22" s="153"/>
      <c r="G22" s="44">
        <v>17295.04</v>
      </c>
      <c r="H22" s="29" t="s">
        <v>10</v>
      </c>
      <c r="I22" s="30"/>
      <c r="J22" s="25">
        <v>11107</v>
      </c>
      <c r="K22" s="31" t="s">
        <v>188</v>
      </c>
      <c r="L22" s="294"/>
      <c r="M22" s="294"/>
      <c r="O22" s="235"/>
    </row>
    <row r="23" spans="2:18">
      <c r="B23" s="187"/>
      <c r="C23" s="188"/>
      <c r="D23" s="198"/>
      <c r="E23" s="190"/>
      <c r="F23" s="153"/>
      <c r="G23" s="44">
        <v>26212.959999999999</v>
      </c>
      <c r="H23" s="29" t="s">
        <v>18</v>
      </c>
      <c r="I23" s="30"/>
      <c r="J23" s="25"/>
      <c r="K23" s="31"/>
    </row>
    <row r="24" spans="2:18" ht="15" thickBot="1">
      <c r="B24" s="46" t="s">
        <v>17</v>
      </c>
      <c r="C24" s="47"/>
      <c r="D24" s="48"/>
      <c r="E24" s="234">
        <v>10360</v>
      </c>
      <c r="F24" s="220"/>
      <c r="G24" s="51"/>
      <c r="H24" s="34"/>
      <c r="I24" s="30"/>
      <c r="J24" s="210"/>
      <c r="K24" s="53"/>
      <c r="N24" s="290"/>
    </row>
    <row r="25" spans="2:18" ht="15" thickBot="1">
      <c r="B25" s="202" t="s">
        <v>58</v>
      </c>
      <c r="C25" s="203"/>
      <c r="D25" s="204"/>
      <c r="E25" s="234">
        <f>126446+15931+29529</f>
        <v>171906</v>
      </c>
      <c r="F25" s="153">
        <f>+F17-E24</f>
        <v>1702668.41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199" t="s">
        <v>22</v>
      </c>
      <c r="C26" s="200"/>
      <c r="D26" s="201"/>
      <c r="E26" s="234">
        <v>3775.4</v>
      </c>
      <c r="F26" s="288">
        <f>SUM(E24:E30)</f>
        <v>186041.4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366</v>
      </c>
      <c r="C27" s="200"/>
      <c r="D27" s="201"/>
      <c r="E27" s="234">
        <v>0</v>
      </c>
      <c r="F27" s="153">
        <f>+F25-F26</f>
        <v>1516627.01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199" t="s">
        <v>80</v>
      </c>
      <c r="C28" s="200"/>
      <c r="D28" s="201"/>
      <c r="E28" s="49">
        <v>0</v>
      </c>
      <c r="F28" s="221"/>
      <c r="G28" s="22">
        <v>4154.71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344" t="s">
        <v>69</v>
      </c>
      <c r="C29" s="345"/>
      <c r="D29" s="346"/>
      <c r="E29" s="49">
        <v>0</v>
      </c>
      <c r="F29" s="220"/>
      <c r="G29" s="22">
        <v>974.3</v>
      </c>
      <c r="H29" s="62" t="s">
        <v>26</v>
      </c>
      <c r="I29" s="63"/>
      <c r="J29" s="64" t="s">
        <v>27</v>
      </c>
      <c r="K29" s="65" t="s">
        <v>28</v>
      </c>
    </row>
    <row r="30" spans="2:18" ht="15" thickBot="1">
      <c r="B30" s="363" t="s">
        <v>29</v>
      </c>
      <c r="C30" s="364"/>
      <c r="D30" s="365"/>
      <c r="E30" s="66">
        <v>0</v>
      </c>
      <c r="F30" s="220"/>
      <c r="G30" s="67">
        <v>1769.08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E31" s="79"/>
      <c r="F31" s="220"/>
      <c r="G31" s="71">
        <v>7231.48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79"/>
      <c r="F32" s="220"/>
      <c r="N32" s="269"/>
      <c r="P32" s="155"/>
      <c r="R32" s="155"/>
    </row>
    <row r="33" spans="2:18">
      <c r="E33" s="79"/>
      <c r="F33" s="220"/>
    </row>
    <row r="34" spans="2:18">
      <c r="E34" s="79"/>
      <c r="F34" s="220"/>
      <c r="H34" s="61"/>
      <c r="I34" s="61"/>
      <c r="J34" s="13"/>
      <c r="K34" s="61"/>
      <c r="L34" s="61"/>
      <c r="M34" s="61"/>
      <c r="N34" s="269"/>
      <c r="P34" s="155"/>
      <c r="R34" s="155"/>
    </row>
    <row r="35" spans="2:18">
      <c r="B35" s="61"/>
      <c r="C35" s="61"/>
      <c r="D35" s="61"/>
      <c r="E35" s="181" t="s">
        <v>354</v>
      </c>
      <c r="F35" s="220"/>
      <c r="H35" s="61"/>
      <c r="I35" s="61"/>
      <c r="J35" s="13"/>
      <c r="K35" s="61"/>
      <c r="L35" s="61"/>
      <c r="M35" s="61"/>
    </row>
    <row r="36" spans="2:18" s="61" customFormat="1" ht="15" customHeight="1">
      <c r="E36" s="181"/>
      <c r="F36" s="222"/>
      <c r="G36" s="8"/>
      <c r="H36" s="13"/>
      <c r="J36" s="13"/>
      <c r="K36" s="83"/>
      <c r="L36" s="88"/>
      <c r="N36" s="272"/>
      <c r="P36" s="273"/>
      <c r="R36" s="273"/>
    </row>
    <row r="37" spans="2:18" s="61" customFormat="1" ht="15" customHeight="1">
      <c r="E37" s="8" t="s">
        <v>34</v>
      </c>
      <c r="F37" s="222"/>
      <c r="G37" s="181"/>
      <c r="H37" s="161"/>
      <c r="I37" s="197"/>
      <c r="J37" s="13"/>
      <c r="K37" s="83"/>
      <c r="L37" s="161"/>
      <c r="M37" s="197"/>
    </row>
    <row r="38" spans="2:18" s="61" customFormat="1" ht="15" customHeight="1">
      <c r="E38" s="8" t="s">
        <v>35</v>
      </c>
      <c r="F38" s="222">
        <f>F17</f>
        <v>1713028.41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2:18" s="61" customFormat="1" ht="15" customHeight="1">
      <c r="E39" s="8" t="s">
        <v>36</v>
      </c>
      <c r="F39" s="222">
        <f>+E17</f>
        <v>14129.57</v>
      </c>
      <c r="G39" s="86"/>
      <c r="I39" s="197"/>
      <c r="J39" s="13"/>
      <c r="K39" s="85"/>
      <c r="M39" s="197"/>
    </row>
    <row r="40" spans="2:18" s="61" customFormat="1" ht="15" customHeight="1">
      <c r="E40" s="8" t="s">
        <v>37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2:18" s="61" customFormat="1" ht="15" customHeight="1">
      <c r="E41" s="182" t="s">
        <v>38</v>
      </c>
      <c r="F41" s="222">
        <v>0</v>
      </c>
      <c r="G41" s="9"/>
      <c r="I41" s="197"/>
      <c r="J41" s="13"/>
      <c r="M41" s="197"/>
    </row>
    <row r="42" spans="2:18" s="61" customFormat="1" ht="15" customHeight="1">
      <c r="E42" s="183"/>
      <c r="F42" s="223">
        <f>SUM(F38:F41)</f>
        <v>1727157.98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183" t="s">
        <v>152</v>
      </c>
      <c r="F43" s="224"/>
      <c r="G43" s="9"/>
      <c r="H43" s="163"/>
      <c r="I43" s="229"/>
      <c r="J43" s="13"/>
      <c r="L43" s="163"/>
      <c r="M43" s="229"/>
    </row>
    <row r="44" spans="2:18" s="61" customFormat="1" ht="15" customHeight="1">
      <c r="E44" s="183" t="s">
        <v>355</v>
      </c>
      <c r="F44" s="224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2:18" s="61" customFormat="1" ht="15" customHeight="1">
      <c r="E45" s="183" t="s">
        <v>356</v>
      </c>
      <c r="F45" s="224">
        <v>1300000</v>
      </c>
      <c r="G45" s="9"/>
      <c r="H45" s="165"/>
      <c r="I45" s="230"/>
      <c r="J45" s="13"/>
    </row>
    <row r="46" spans="2:18" s="61" customFormat="1" ht="15" customHeight="1">
      <c r="E46" s="183" t="s">
        <v>64</v>
      </c>
      <c r="F46" s="224">
        <v>120000</v>
      </c>
      <c r="G46" s="9"/>
      <c r="H46" s="165"/>
      <c r="I46" s="230"/>
      <c r="J46" s="13"/>
    </row>
    <row r="47" spans="2:18" s="61" customFormat="1" ht="15" customHeight="1">
      <c r="E47" s="183" t="s">
        <v>69</v>
      </c>
      <c r="F47" s="224">
        <v>0</v>
      </c>
      <c r="G47" s="9"/>
      <c r="H47" s="165"/>
      <c r="I47" s="230"/>
      <c r="J47" s="13"/>
    </row>
    <row r="48" spans="2:18" s="61" customFormat="1" ht="15" customHeight="1">
      <c r="E48" s="116" t="s">
        <v>24</v>
      </c>
      <c r="F48" s="224">
        <v>60000</v>
      </c>
      <c r="G48" s="9"/>
      <c r="H48" s="165"/>
      <c r="I48" s="230"/>
      <c r="J48" s="13"/>
    </row>
    <row r="49" spans="2:13" s="61" customFormat="1" ht="15" customHeight="1">
      <c r="E49" s="116" t="s">
        <v>22</v>
      </c>
      <c r="F49" s="220">
        <v>0</v>
      </c>
      <c r="G49" s="9"/>
      <c r="H49" s="165"/>
      <c r="I49" s="230"/>
      <c r="J49" s="13"/>
    </row>
    <row r="50" spans="2:13" s="61" customFormat="1">
      <c r="E50" s="116" t="s">
        <v>40</v>
      </c>
      <c r="F50" s="220">
        <v>50000</v>
      </c>
      <c r="G50" s="8"/>
      <c r="H50" s="91"/>
      <c r="I50" s="231"/>
      <c r="J50" s="13"/>
    </row>
    <row r="51" spans="2:13" s="61" customFormat="1">
      <c r="E51" s="118" t="s">
        <v>41</v>
      </c>
      <c r="F51" s="226">
        <f>200000-90000-60000</f>
        <v>50000</v>
      </c>
      <c r="G51" s="8"/>
      <c r="H51" s="96"/>
      <c r="I51" s="231"/>
      <c r="J51" s="262"/>
    </row>
    <row r="52" spans="2:13" s="61" customFormat="1">
      <c r="E52" s="118" t="s">
        <v>42</v>
      </c>
      <c r="F52" s="225">
        <f>SUM(F44:F51)</f>
        <v>1705000</v>
      </c>
      <c r="G52" s="82"/>
      <c r="H52" s="83"/>
      <c r="I52" s="228"/>
      <c r="J52" s="13"/>
    </row>
    <row r="53" spans="2:13" s="61" customFormat="1">
      <c r="E53" s="8"/>
      <c r="F53" s="225">
        <f>F42-F52</f>
        <v>22157.979999999981</v>
      </c>
      <c r="G53" s="82"/>
      <c r="H53" s="83"/>
      <c r="I53" s="233"/>
      <c r="J53" s="13"/>
      <c r="L53" s="91"/>
      <c r="M53" s="232"/>
    </row>
    <row r="54" spans="2:13" s="61" customFormat="1">
      <c r="E54" s="82" t="s">
        <v>43</v>
      </c>
      <c r="F54" s="154"/>
      <c r="G54" s="82"/>
      <c r="H54" s="83"/>
      <c r="I54" s="233"/>
      <c r="J54" s="13"/>
      <c r="L54" s="91"/>
      <c r="M54" s="232"/>
    </row>
    <row r="55" spans="2:13" s="61" customFormat="1">
      <c r="E55" s="82" t="s">
        <v>44</v>
      </c>
      <c r="F55" s="80">
        <f>43800+180000</f>
        <v>223800</v>
      </c>
      <c r="G55" s="82"/>
      <c r="H55" s="83"/>
      <c r="I55" s="233"/>
      <c r="J55" s="13"/>
      <c r="L55" s="96"/>
      <c r="M55" s="231"/>
    </row>
    <row r="56" spans="2:13" s="61" customFormat="1">
      <c r="E56" s="82" t="s">
        <v>45</v>
      </c>
      <c r="F56" s="80">
        <v>365000</v>
      </c>
      <c r="G56" s="82"/>
      <c r="H56" s="96"/>
      <c r="I56" s="228"/>
      <c r="J56" s="13"/>
      <c r="L56" s="96"/>
      <c r="M56" s="233"/>
    </row>
    <row r="57" spans="2:13" s="61" customFormat="1">
      <c r="E57" s="82" t="s">
        <v>205</v>
      </c>
      <c r="F57" s="117">
        <v>0</v>
      </c>
      <c r="G57" s="82"/>
      <c r="H57" s="83"/>
      <c r="I57" s="233"/>
      <c r="J57" s="13"/>
    </row>
    <row r="58" spans="2:13" s="61" customFormat="1">
      <c r="B58"/>
      <c r="C58"/>
      <c r="D58"/>
      <c r="E58" s="82" t="s">
        <v>206</v>
      </c>
      <c r="F58" s="117">
        <v>0</v>
      </c>
      <c r="G58"/>
      <c r="H58" s="96"/>
      <c r="I58" s="219"/>
      <c r="J58" s="13"/>
      <c r="L58" s="83"/>
      <c r="M58" s="228"/>
    </row>
    <row r="59" spans="2:13">
      <c r="E59" s="118" t="s">
        <v>46</v>
      </c>
      <c r="F59" s="117">
        <v>0</v>
      </c>
      <c r="H59" s="61"/>
      <c r="I59" s="61"/>
      <c r="J59" s="13"/>
      <c r="K59" s="61"/>
      <c r="L59" s="61"/>
      <c r="M59" s="61"/>
    </row>
    <row r="60" spans="2:13">
      <c r="E60" s="82"/>
      <c r="F60" s="120">
        <f>SUM(F55:F59)</f>
        <v>588800</v>
      </c>
      <c r="H60" s="61"/>
      <c r="I60" s="61"/>
      <c r="J60" s="13"/>
      <c r="K60" s="61"/>
      <c r="L60" s="61"/>
      <c r="M60" s="61"/>
    </row>
    <row r="61" spans="2:13">
      <c r="E61" s="118" t="s">
        <v>47</v>
      </c>
      <c r="F61" s="80"/>
    </row>
    <row r="62" spans="2:13">
      <c r="D62" s="247" t="s">
        <v>192</v>
      </c>
      <c r="E62" s="8"/>
      <c r="F62" s="120">
        <f>F53-F60</f>
        <v>-566642.02</v>
      </c>
      <c r="G62" s="8"/>
    </row>
    <row r="63" spans="2:13">
      <c r="D63" s="247" t="s">
        <v>194</v>
      </c>
      <c r="E63" s="8"/>
      <c r="F63" s="220"/>
      <c r="G63" s="8"/>
    </row>
    <row r="64" spans="2:13">
      <c r="D64" s="8" t="s">
        <v>9</v>
      </c>
      <c r="E64" s="8"/>
      <c r="G64" s="8"/>
    </row>
    <row r="65" spans="1:7">
      <c r="D65" s="8" t="s">
        <v>195</v>
      </c>
      <c r="E65" s="8"/>
      <c r="G65" s="8"/>
    </row>
    <row r="66" spans="1:7">
      <c r="D66" s="8" t="s">
        <v>188</v>
      </c>
      <c r="E66" s="247"/>
      <c r="G66" s="124">
        <f>SUM(E72:F72)</f>
        <v>0</v>
      </c>
    </row>
    <row r="67" spans="1:7">
      <c r="D67" s="8"/>
      <c r="E67" s="247"/>
      <c r="F67" s="275"/>
      <c r="G67" s="8"/>
    </row>
    <row r="68" spans="1:7">
      <c r="E68" s="249"/>
      <c r="F68" s="286"/>
    </row>
    <row r="69" spans="1:7">
      <c r="E69" s="249"/>
      <c r="F69" s="246"/>
    </row>
    <row r="70" spans="1:7">
      <c r="E70" s="249"/>
      <c r="F70" s="287"/>
    </row>
    <row r="71" spans="1:7">
      <c r="E71" s="124"/>
      <c r="F71" s="287"/>
    </row>
    <row r="72" spans="1:7">
      <c r="E72" s="8"/>
      <c r="F72" s="287"/>
    </row>
    <row r="73" spans="1:7">
      <c r="E73" s="8"/>
    </row>
    <row r="74" spans="1:7">
      <c r="A74" s="268"/>
      <c r="E74" s="8"/>
    </row>
    <row r="75" spans="1:7">
      <c r="E75" s="8"/>
    </row>
    <row r="76" spans="1:7">
      <c r="B76" s="235"/>
      <c r="E76" s="8"/>
    </row>
    <row r="77" spans="1:7">
      <c r="E77" s="8"/>
    </row>
    <row r="78" spans="1:7">
      <c r="E78" s="293"/>
    </row>
    <row r="79" spans="1:7">
      <c r="C79" s="155"/>
      <c r="E79" s="8"/>
    </row>
    <row r="80" spans="1:7">
      <c r="A80" s="269"/>
      <c r="E80" s="293"/>
    </row>
    <row r="81" spans="1:5">
      <c r="C81" s="155"/>
      <c r="E81" s="8"/>
    </row>
    <row r="82" spans="1:5">
      <c r="A82" s="269"/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77"/>
    </row>
    <row r="111" spans="1:5">
      <c r="C111" s="155"/>
      <c r="E111" s="79"/>
    </row>
    <row r="112" spans="1:5">
      <c r="A112" s="269"/>
      <c r="E112" s="277"/>
    </row>
    <row r="113" spans="1:5">
      <c r="C113" s="155"/>
      <c r="E113" s="79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</row>
    <row r="124" spans="1:5">
      <c r="A124" s="269"/>
      <c r="E124" s="155"/>
    </row>
    <row r="125" spans="1:5">
      <c r="C125" s="155"/>
    </row>
    <row r="126" spans="1:5">
      <c r="A126" s="269"/>
      <c r="E126" s="155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D199" s="155"/>
    </row>
    <row r="200" spans="1:5">
      <c r="A200" s="269"/>
      <c r="E200" s="155"/>
    </row>
    <row r="201" spans="1:5">
      <c r="C201" s="155"/>
    </row>
    <row r="202" spans="1:5">
      <c r="A202" s="269"/>
      <c r="E202" s="155"/>
    </row>
    <row r="203" spans="1:5">
      <c r="C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3">
      <c r="C209" s="155"/>
    </row>
    <row r="210" spans="1:3">
      <c r="A210" s="269"/>
    </row>
  </sheetData>
  <mergeCells count="15">
    <mergeCell ref="B15:D15"/>
    <mergeCell ref="G15:H15"/>
    <mergeCell ref="J15:K15"/>
    <mergeCell ref="E10:F10"/>
    <mergeCell ref="B12:D12"/>
    <mergeCell ref="B13:D13"/>
    <mergeCell ref="B14:D14"/>
    <mergeCell ref="G14:K14"/>
    <mergeCell ref="B30:D30"/>
    <mergeCell ref="B17:D17"/>
    <mergeCell ref="B18:D18"/>
    <mergeCell ref="G21:H21"/>
    <mergeCell ref="G25:K25"/>
    <mergeCell ref="G27:H27"/>
    <mergeCell ref="B29:D29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33C1A-BA36-49D0-B383-AEF0C8C5C8A0}">
  <dimension ref="A6:R210"/>
  <sheetViews>
    <sheetView showGridLines="0" topLeftCell="E17" workbookViewId="0">
      <selection activeCell="G25" sqref="G25:K25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7.5">
      <c r="A12" s="11"/>
      <c r="B12" s="334" t="s">
        <v>3</v>
      </c>
      <c r="C12" s="335"/>
      <c r="D12" s="336"/>
      <c r="E12" s="17">
        <f>SUM(E13:E15)</f>
        <v>1967609.4800000002</v>
      </c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337" t="s">
        <v>5</v>
      </c>
      <c r="C13" s="338"/>
      <c r="D13" s="339"/>
      <c r="E13" s="20">
        <f>J16+J17+J18+J19</f>
        <v>1828285.4800000002</v>
      </c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49" t="s">
        <v>7</v>
      </c>
      <c r="C14" s="350"/>
      <c r="D14" s="351"/>
      <c r="E14" s="20">
        <f>G22+G23</f>
        <v>43508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52" t="s">
        <v>6</v>
      </c>
      <c r="C15" s="353"/>
      <c r="D15" s="354"/>
      <c r="E15" s="28">
        <f>G16+G17+G18</f>
        <v>95816</v>
      </c>
      <c r="F15" s="153">
        <f>E13+E14+E15</f>
        <v>1967609.4800000002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236" t="s">
        <v>187</v>
      </c>
      <c r="C16" s="237"/>
      <c r="D16" s="238"/>
      <c r="E16" s="28">
        <f>+J22</f>
        <v>11107</v>
      </c>
      <c r="F16" s="153">
        <v>90000</v>
      </c>
      <c r="G16" s="22">
        <v>61279.9</v>
      </c>
      <c r="H16" s="23" t="s">
        <v>8</v>
      </c>
      <c r="I16" s="24"/>
      <c r="J16" s="25">
        <v>68392.73</v>
      </c>
      <c r="K16" s="26" t="s">
        <v>9</v>
      </c>
      <c r="L16" s="13"/>
      <c r="N16" s="3"/>
    </row>
    <row r="17" spans="2:18">
      <c r="B17" s="379" t="s">
        <v>11</v>
      </c>
      <c r="C17" s="380"/>
      <c r="D17" s="381"/>
      <c r="E17" s="20">
        <f>G29+G31+G30+G28</f>
        <v>14139.900000000001</v>
      </c>
      <c r="F17" s="153">
        <f>+F15-F16</f>
        <v>1877609.4800000002</v>
      </c>
      <c r="G17" s="22">
        <v>19930.32</v>
      </c>
      <c r="H17" s="29" t="s">
        <v>10</v>
      </c>
      <c r="I17" s="30"/>
      <c r="J17" s="25">
        <v>289887.81</v>
      </c>
      <c r="K17" s="31" t="s">
        <v>10</v>
      </c>
      <c r="N17" s="3"/>
    </row>
    <row r="18" spans="2:18">
      <c r="B18" s="344" t="s">
        <v>13</v>
      </c>
      <c r="C18" s="345"/>
      <c r="D18" s="346"/>
      <c r="E18" s="20">
        <v>16679961.77</v>
      </c>
      <c r="F18" s="153"/>
      <c r="G18" s="22">
        <v>14605.78</v>
      </c>
      <c r="H18" s="29" t="s">
        <v>12</v>
      </c>
      <c r="I18" s="30"/>
      <c r="J18" s="25">
        <v>1413223.57</v>
      </c>
      <c r="K18" s="31" t="s">
        <v>12</v>
      </c>
      <c r="L18" s="152"/>
      <c r="N18" s="3"/>
    </row>
    <row r="19" spans="2:18">
      <c r="B19" s="187" t="s">
        <v>15</v>
      </c>
      <c r="C19" s="188"/>
      <c r="D19" s="189"/>
      <c r="E19" s="190">
        <f>SUM(E20:E23)</f>
        <v>9860</v>
      </c>
      <c r="F19" s="153"/>
      <c r="G19" s="33"/>
      <c r="H19" s="34"/>
      <c r="I19" s="30"/>
      <c r="J19" s="25">
        <v>56781.37</v>
      </c>
      <c r="K19" s="31" t="s">
        <v>14</v>
      </c>
      <c r="L19" s="294"/>
      <c r="M19" s="294"/>
      <c r="N19" s="268"/>
    </row>
    <row r="20" spans="2:18">
      <c r="B20" s="187"/>
      <c r="C20" s="188"/>
      <c r="D20" s="198" t="s">
        <v>369</v>
      </c>
      <c r="E20" s="190">
        <v>9860</v>
      </c>
      <c r="F20" s="153"/>
      <c r="G20" s="239"/>
      <c r="H20" s="240"/>
      <c r="I20" s="30"/>
      <c r="J20" s="25"/>
      <c r="K20" s="31"/>
      <c r="L20" s="294"/>
      <c r="M20" s="294"/>
    </row>
    <row r="21" spans="2:18">
      <c r="B21" s="187"/>
      <c r="C21" s="188"/>
      <c r="D21" s="198"/>
      <c r="E21" s="190"/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</row>
    <row r="22" spans="2:18">
      <c r="B22" s="187"/>
      <c r="C22" s="188"/>
      <c r="D22" s="198"/>
      <c r="E22" s="190"/>
      <c r="F22" s="153"/>
      <c r="G22" s="44">
        <v>17295.04</v>
      </c>
      <c r="H22" s="29" t="s">
        <v>10</v>
      </c>
      <c r="I22" s="30"/>
      <c r="J22" s="25">
        <v>11107</v>
      </c>
      <c r="K22" s="31" t="s">
        <v>188</v>
      </c>
      <c r="L22" s="294"/>
      <c r="M22" s="294"/>
      <c r="O22" s="235"/>
    </row>
    <row r="23" spans="2:18">
      <c r="B23" s="187"/>
      <c r="C23" s="188"/>
      <c r="D23" s="198"/>
      <c r="E23" s="190"/>
      <c r="F23" s="153"/>
      <c r="G23" s="44">
        <v>26212.959999999999</v>
      </c>
      <c r="H23" s="29" t="s">
        <v>18</v>
      </c>
      <c r="I23" s="30"/>
      <c r="J23" s="25"/>
      <c r="K23" s="31"/>
    </row>
    <row r="24" spans="2:18" ht="15" thickBot="1">
      <c r="B24" s="46" t="s">
        <v>17</v>
      </c>
      <c r="C24" s="47"/>
      <c r="D24" s="48"/>
      <c r="E24" s="234">
        <v>52626.86</v>
      </c>
      <c r="F24" s="220"/>
      <c r="G24" s="51"/>
      <c r="H24" s="34"/>
      <c r="I24" s="30"/>
      <c r="J24" s="210"/>
      <c r="K24" s="53"/>
      <c r="N24" s="290"/>
    </row>
    <row r="25" spans="2:18" ht="15" thickBot="1">
      <c r="B25" s="202" t="s">
        <v>368</v>
      </c>
      <c r="C25" s="203"/>
      <c r="D25" s="204"/>
      <c r="E25" s="234">
        <v>1415000</v>
      </c>
      <c r="F25" s="153">
        <f>+F17-E24</f>
        <v>1824982.62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199" t="s">
        <v>22</v>
      </c>
      <c r="C26" s="200"/>
      <c r="D26" s="201"/>
      <c r="E26" s="234">
        <v>0</v>
      </c>
      <c r="F26" s="288">
        <f>SUM(E24:E30)</f>
        <v>1517198.1900000002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105</v>
      </c>
      <c r="C27" s="200"/>
      <c r="D27" s="201"/>
      <c r="E27" s="234">
        <f>21644.8+3022+823.2+15133.41+8947.92</f>
        <v>49571.33</v>
      </c>
      <c r="F27" s="153">
        <f>+F25-F26</f>
        <v>307784.42999999993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199" t="s">
        <v>80</v>
      </c>
      <c r="C28" s="200"/>
      <c r="D28" s="201"/>
      <c r="E28" s="49">
        <v>0</v>
      </c>
      <c r="F28" s="221"/>
      <c r="G28" s="22">
        <v>4157.95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344" t="s">
        <v>69</v>
      </c>
      <c r="C29" s="345"/>
      <c r="D29" s="346"/>
      <c r="E29" s="49">
        <v>0</v>
      </c>
      <c r="F29" s="220"/>
      <c r="G29" s="22">
        <v>974.6</v>
      </c>
      <c r="H29" s="62" t="s">
        <v>26</v>
      </c>
      <c r="I29" s="63"/>
      <c r="J29" s="64" t="s">
        <v>27</v>
      </c>
      <c r="K29" s="65" t="s">
        <v>28</v>
      </c>
    </row>
    <row r="30" spans="2:18" ht="15" thickBot="1">
      <c r="B30" s="363" t="s">
        <v>29</v>
      </c>
      <c r="C30" s="364"/>
      <c r="D30" s="365"/>
      <c r="E30" s="66">
        <v>0</v>
      </c>
      <c r="F30" s="220"/>
      <c r="G30" s="67">
        <v>1770.12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E31" s="79"/>
      <c r="F31" s="220"/>
      <c r="G31" s="71">
        <v>7237.23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79"/>
      <c r="F32" s="220"/>
      <c r="N32" s="269"/>
      <c r="P32" s="155"/>
      <c r="R32" s="155"/>
    </row>
    <row r="33" spans="2:18">
      <c r="E33" s="79"/>
      <c r="F33" s="220"/>
    </row>
    <row r="34" spans="2:18">
      <c r="E34" s="79"/>
      <c r="F34" s="220"/>
      <c r="H34" s="61"/>
      <c r="I34" s="61"/>
      <c r="J34" s="13"/>
      <c r="K34" s="61"/>
      <c r="L34" s="61"/>
      <c r="M34" s="61"/>
      <c r="N34" s="269"/>
      <c r="P34" s="155"/>
      <c r="R34" s="155"/>
    </row>
    <row r="35" spans="2:18">
      <c r="B35" s="61"/>
      <c r="C35" s="61"/>
      <c r="D35" s="61"/>
      <c r="E35" s="181" t="s">
        <v>354</v>
      </c>
      <c r="F35" s="220"/>
      <c r="H35" s="61"/>
      <c r="I35" s="61"/>
      <c r="J35" s="13"/>
      <c r="K35" s="61"/>
      <c r="L35" s="61"/>
      <c r="M35" s="61"/>
    </row>
    <row r="36" spans="2:18" s="61" customFormat="1" ht="15" customHeight="1">
      <c r="E36" s="181"/>
      <c r="F36" s="222"/>
      <c r="G36" s="8"/>
      <c r="H36" s="13"/>
      <c r="J36" s="13"/>
      <c r="K36" s="83"/>
      <c r="L36" s="88"/>
      <c r="N36" s="272"/>
      <c r="P36" s="273"/>
      <c r="R36" s="273"/>
    </row>
    <row r="37" spans="2:18" s="61" customFormat="1" ht="15" customHeight="1">
      <c r="E37" s="8" t="s">
        <v>34</v>
      </c>
      <c r="F37" s="222"/>
      <c r="G37" s="181"/>
      <c r="H37" s="161"/>
      <c r="I37" s="197"/>
      <c r="J37" s="13"/>
      <c r="K37" s="83"/>
      <c r="L37" s="161"/>
      <c r="M37" s="197"/>
    </row>
    <row r="38" spans="2:18" s="61" customFormat="1" ht="15" customHeight="1">
      <c r="E38" s="8" t="s">
        <v>35</v>
      </c>
      <c r="F38" s="222">
        <f>F17</f>
        <v>1877609.4800000002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2:18" s="61" customFormat="1" ht="15" customHeight="1">
      <c r="E39" s="8" t="s">
        <v>36</v>
      </c>
      <c r="F39" s="222">
        <f>+E17</f>
        <v>14139.900000000001</v>
      </c>
      <c r="G39" s="86"/>
      <c r="I39" s="197"/>
      <c r="J39" s="13"/>
      <c r="K39" s="85"/>
      <c r="M39" s="197"/>
    </row>
    <row r="40" spans="2:18" s="61" customFormat="1" ht="15" customHeight="1">
      <c r="E40" s="8" t="s">
        <v>37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2:18" s="61" customFormat="1" ht="15" customHeight="1">
      <c r="E41" s="182" t="s">
        <v>38</v>
      </c>
      <c r="F41" s="222">
        <v>0</v>
      </c>
      <c r="G41" s="9"/>
      <c r="I41" s="197"/>
      <c r="J41" s="13"/>
      <c r="M41" s="197"/>
    </row>
    <row r="42" spans="2:18" s="61" customFormat="1" ht="15" customHeight="1">
      <c r="E42" s="183"/>
      <c r="F42" s="223">
        <f>SUM(F38:F41)</f>
        <v>1891749.3800000001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183" t="s">
        <v>152</v>
      </c>
      <c r="F43" s="224"/>
      <c r="G43" s="9"/>
      <c r="H43" s="163"/>
      <c r="I43" s="229"/>
      <c r="J43" s="13"/>
      <c r="L43" s="163"/>
      <c r="M43" s="229"/>
    </row>
    <row r="44" spans="2:18" s="61" customFormat="1" ht="15" customHeight="1">
      <c r="E44" s="183" t="s">
        <v>355</v>
      </c>
      <c r="F44" s="224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2:18" s="61" customFormat="1" ht="15" customHeight="1">
      <c r="E45" s="183" t="s">
        <v>356</v>
      </c>
      <c r="F45" s="224">
        <v>1300000</v>
      </c>
      <c r="G45" s="9"/>
      <c r="H45" s="165"/>
      <c r="I45" s="230"/>
      <c r="J45" s="13"/>
    </row>
    <row r="46" spans="2:18" s="61" customFormat="1" ht="15" customHeight="1">
      <c r="E46" s="183" t="s">
        <v>64</v>
      </c>
      <c r="F46" s="224">
        <v>120000</v>
      </c>
      <c r="G46" s="9"/>
      <c r="H46" s="165"/>
      <c r="I46" s="230"/>
      <c r="J46" s="13"/>
    </row>
    <row r="47" spans="2:18" s="61" customFormat="1" ht="15" customHeight="1">
      <c r="E47" s="183" t="s">
        <v>69</v>
      </c>
      <c r="F47" s="224">
        <v>0</v>
      </c>
      <c r="G47" s="9"/>
      <c r="H47" s="165"/>
      <c r="I47" s="230"/>
      <c r="J47" s="13"/>
    </row>
    <row r="48" spans="2:18" s="61" customFormat="1" ht="15" customHeight="1">
      <c r="E48" s="116" t="s">
        <v>24</v>
      </c>
      <c r="F48" s="224">
        <v>60000</v>
      </c>
      <c r="G48" s="9"/>
      <c r="H48" s="165"/>
      <c r="I48" s="230"/>
      <c r="J48" s="13"/>
    </row>
    <row r="49" spans="2:13" s="61" customFormat="1" ht="15" customHeight="1">
      <c r="E49" s="116" t="s">
        <v>22</v>
      </c>
      <c r="F49" s="220">
        <v>0</v>
      </c>
      <c r="G49" s="9"/>
      <c r="H49" s="165"/>
      <c r="I49" s="230"/>
      <c r="J49" s="13"/>
    </row>
    <row r="50" spans="2:13" s="61" customFormat="1">
      <c r="E50" s="116" t="s">
        <v>40</v>
      </c>
      <c r="F50" s="220">
        <v>50000</v>
      </c>
      <c r="G50" s="8"/>
      <c r="H50" s="91"/>
      <c r="I50" s="231"/>
      <c r="J50" s="13"/>
    </row>
    <row r="51" spans="2:13" s="61" customFormat="1">
      <c r="E51" s="118" t="s">
        <v>41</v>
      </c>
      <c r="F51" s="226">
        <f>200000-90000-60000</f>
        <v>50000</v>
      </c>
      <c r="G51" s="8"/>
      <c r="H51" s="96"/>
      <c r="I51" s="231"/>
      <c r="J51" s="262"/>
    </row>
    <row r="52" spans="2:13" s="61" customFormat="1">
      <c r="E52" s="118" t="s">
        <v>42</v>
      </c>
      <c r="F52" s="225">
        <f>SUM(F44:F51)</f>
        <v>1705000</v>
      </c>
      <c r="G52" s="82"/>
      <c r="H52" s="83"/>
      <c r="I52" s="228"/>
      <c r="J52" s="13"/>
    </row>
    <row r="53" spans="2:13" s="61" customFormat="1">
      <c r="E53" s="8"/>
      <c r="F53" s="225">
        <f>F42-F52</f>
        <v>186749.38000000012</v>
      </c>
      <c r="G53" s="82"/>
      <c r="H53" s="83"/>
      <c r="I53" s="233"/>
      <c r="J53" s="13"/>
      <c r="L53" s="91"/>
      <c r="M53" s="232"/>
    </row>
    <row r="54" spans="2:13" s="61" customFormat="1">
      <c r="E54" s="82" t="s">
        <v>43</v>
      </c>
      <c r="F54" s="154"/>
      <c r="G54" s="82"/>
      <c r="H54" s="83"/>
      <c r="I54" s="233"/>
      <c r="J54" s="13"/>
      <c r="L54" s="91"/>
      <c r="M54" s="232"/>
    </row>
    <row r="55" spans="2:13" s="61" customFormat="1">
      <c r="E55" s="82" t="s">
        <v>44</v>
      </c>
      <c r="F55" s="80">
        <f>43800+180000</f>
        <v>223800</v>
      </c>
      <c r="G55" s="82"/>
      <c r="H55" s="83"/>
      <c r="I55" s="233"/>
      <c r="J55" s="13"/>
      <c r="L55" s="96"/>
      <c r="M55" s="231"/>
    </row>
    <row r="56" spans="2:13" s="61" customFormat="1">
      <c r="E56" s="82" t="s">
        <v>45</v>
      </c>
      <c r="F56" s="80">
        <v>365000</v>
      </c>
      <c r="G56" s="82"/>
      <c r="H56" s="96"/>
      <c r="I56" s="228"/>
      <c r="J56" s="13"/>
      <c r="L56" s="96"/>
      <c r="M56" s="233"/>
    </row>
    <row r="57" spans="2:13" s="61" customFormat="1">
      <c r="E57" s="82" t="s">
        <v>205</v>
      </c>
      <c r="F57" s="117">
        <v>0</v>
      </c>
      <c r="G57" s="82"/>
      <c r="H57" s="83"/>
      <c r="I57" s="233"/>
      <c r="J57" s="13"/>
    </row>
    <row r="58" spans="2:13" s="61" customFormat="1">
      <c r="B58"/>
      <c r="C58"/>
      <c r="D58"/>
      <c r="E58" s="82" t="s">
        <v>206</v>
      </c>
      <c r="F58" s="117">
        <v>0</v>
      </c>
      <c r="G58"/>
      <c r="H58" s="96"/>
      <c r="I58" s="219"/>
      <c r="J58" s="13"/>
      <c r="L58" s="83"/>
      <c r="M58" s="228"/>
    </row>
    <row r="59" spans="2:13">
      <c r="E59" s="118" t="s">
        <v>46</v>
      </c>
      <c r="F59" s="117">
        <v>0</v>
      </c>
      <c r="H59" s="61"/>
      <c r="I59" s="61"/>
      <c r="J59" s="13"/>
      <c r="K59" s="61"/>
      <c r="L59" s="61"/>
      <c r="M59" s="61"/>
    </row>
    <row r="60" spans="2:13">
      <c r="E60" s="82"/>
      <c r="F60" s="120">
        <f>SUM(F55:F59)</f>
        <v>588800</v>
      </c>
      <c r="H60" s="61"/>
      <c r="I60" s="61"/>
      <c r="J60" s="13"/>
      <c r="K60" s="61"/>
      <c r="L60" s="61"/>
      <c r="M60" s="61"/>
    </row>
    <row r="61" spans="2:13">
      <c r="E61" s="118" t="s">
        <v>47</v>
      </c>
      <c r="F61" s="80"/>
    </row>
    <row r="62" spans="2:13">
      <c r="D62" s="247" t="s">
        <v>192</v>
      </c>
      <c r="E62" s="8"/>
      <c r="F62" s="120">
        <f>F53-F60</f>
        <v>-402050.61999999988</v>
      </c>
      <c r="G62" s="8"/>
    </row>
    <row r="63" spans="2:13">
      <c r="D63" s="247" t="s">
        <v>194</v>
      </c>
      <c r="E63" s="8"/>
      <c r="F63" s="220"/>
      <c r="G63" s="8"/>
    </row>
    <row r="64" spans="2:13">
      <c r="D64" s="8" t="s">
        <v>9</v>
      </c>
      <c r="E64" s="8"/>
      <c r="G64" s="8"/>
    </row>
    <row r="65" spans="1:7">
      <c r="D65" s="8" t="s">
        <v>195</v>
      </c>
      <c r="E65" s="8"/>
      <c r="G65" s="8"/>
    </row>
    <row r="66" spans="1:7">
      <c r="D66" s="8" t="s">
        <v>188</v>
      </c>
      <c r="E66" s="247"/>
      <c r="G66" s="124">
        <f>SUM(E72:F72)</f>
        <v>0</v>
      </c>
    </row>
    <row r="67" spans="1:7">
      <c r="D67" s="8"/>
      <c r="E67" s="247"/>
      <c r="F67" s="275"/>
      <c r="G67" s="8"/>
    </row>
    <row r="68" spans="1:7">
      <c r="E68" s="249"/>
      <c r="F68" s="286"/>
    </row>
    <row r="69" spans="1:7">
      <c r="E69" s="249"/>
      <c r="F69" s="246"/>
    </row>
    <row r="70" spans="1:7">
      <c r="E70" s="249"/>
      <c r="F70" s="287"/>
    </row>
    <row r="71" spans="1:7">
      <c r="E71" s="124"/>
      <c r="F71" s="287"/>
    </row>
    <row r="72" spans="1:7">
      <c r="E72" s="8"/>
      <c r="F72" s="287"/>
    </row>
    <row r="73" spans="1:7">
      <c r="E73" s="8"/>
    </row>
    <row r="74" spans="1:7">
      <c r="A74" s="268"/>
      <c r="E74" s="8"/>
    </row>
    <row r="75" spans="1:7">
      <c r="E75" s="8"/>
    </row>
    <row r="76" spans="1:7">
      <c r="B76" s="235"/>
      <c r="E76" s="8"/>
    </row>
    <row r="77" spans="1:7">
      <c r="E77" s="8"/>
    </row>
    <row r="78" spans="1:7">
      <c r="E78" s="293"/>
    </row>
    <row r="79" spans="1:7">
      <c r="C79" s="155"/>
      <c r="E79" s="8"/>
    </row>
    <row r="80" spans="1:7">
      <c r="A80" s="269"/>
      <c r="E80" s="293"/>
    </row>
    <row r="81" spans="1:5">
      <c r="C81" s="155"/>
      <c r="E81" s="8"/>
    </row>
    <row r="82" spans="1:5">
      <c r="A82" s="269"/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77"/>
    </row>
    <row r="111" spans="1:5">
      <c r="C111" s="155"/>
      <c r="E111" s="79"/>
    </row>
    <row r="112" spans="1:5">
      <c r="A112" s="269"/>
      <c r="E112" s="277"/>
    </row>
    <row r="113" spans="1:5">
      <c r="C113" s="155"/>
      <c r="E113" s="79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</row>
    <row r="124" spans="1:5">
      <c r="A124" s="269"/>
      <c r="E124" s="155"/>
    </row>
    <row r="125" spans="1:5">
      <c r="C125" s="155"/>
    </row>
    <row r="126" spans="1:5">
      <c r="A126" s="269"/>
      <c r="E126" s="155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D199" s="155"/>
    </row>
    <row r="200" spans="1:5">
      <c r="A200" s="269"/>
      <c r="E200" s="155"/>
    </row>
    <row r="201" spans="1:5">
      <c r="C201" s="155"/>
    </row>
    <row r="202" spans="1:5">
      <c r="A202" s="269"/>
      <c r="E202" s="155"/>
    </row>
    <row r="203" spans="1:5">
      <c r="C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3">
      <c r="C209" s="155"/>
    </row>
    <row r="210" spans="1:3">
      <c r="A210" s="269"/>
    </row>
  </sheetData>
  <mergeCells count="15">
    <mergeCell ref="B30:D30"/>
    <mergeCell ref="B17:D17"/>
    <mergeCell ref="B18:D18"/>
    <mergeCell ref="G21:H21"/>
    <mergeCell ref="G25:K25"/>
    <mergeCell ref="G27:H27"/>
    <mergeCell ref="B29:D29"/>
    <mergeCell ref="B15:D15"/>
    <mergeCell ref="G15:H15"/>
    <mergeCell ref="J15:K15"/>
    <mergeCell ref="E10:F10"/>
    <mergeCell ref="B12:D12"/>
    <mergeCell ref="B13:D13"/>
    <mergeCell ref="B14:D14"/>
    <mergeCell ref="G14:K14"/>
  </mergeCells>
  <pageMargins left="0.7" right="0.7" top="0.75" bottom="0.75" header="0.3" footer="0.3"/>
  <pageSetup orientation="portrait" verticalDpi="0" r:id="rId1"/>
  <ignoredErrors>
    <ignoredError sqref="E19" formulaRange="1"/>
  </ignoredErrors>
  <drawing r:id="rId2"/>
  <legacyDrawing r:id="rId3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B7A80-2B73-4BC0-B4AA-77B67EB2198A}">
  <dimension ref="A6:R210"/>
  <sheetViews>
    <sheetView showGridLines="0" topLeftCell="F15" workbookViewId="0">
      <selection activeCell="J19" sqref="J19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7.5">
      <c r="A12" s="11"/>
      <c r="B12" s="334" t="s">
        <v>3</v>
      </c>
      <c r="C12" s="335"/>
      <c r="D12" s="336"/>
      <c r="E12" s="17">
        <f>SUM(E13:E15)</f>
        <v>2548673.6799999997</v>
      </c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337" t="s">
        <v>5</v>
      </c>
      <c r="C13" s="338"/>
      <c r="D13" s="339"/>
      <c r="E13" s="20">
        <f>J16+J17+J18+J19</f>
        <v>2396195.1599999997</v>
      </c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49" t="s">
        <v>7</v>
      </c>
      <c r="C14" s="350"/>
      <c r="D14" s="351"/>
      <c r="E14" s="20">
        <f>G22+G23</f>
        <v>43508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52" t="s">
        <v>6</v>
      </c>
      <c r="C15" s="353"/>
      <c r="D15" s="354"/>
      <c r="E15" s="28">
        <f>G16+G17+G18</f>
        <v>108970.52</v>
      </c>
      <c r="F15" s="153">
        <f>E13+E14+E15</f>
        <v>2548673.6799999997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236" t="s">
        <v>187</v>
      </c>
      <c r="C16" s="237"/>
      <c r="D16" s="238"/>
      <c r="E16" s="28">
        <f>+J22</f>
        <v>11107</v>
      </c>
      <c r="F16" s="153">
        <v>90000</v>
      </c>
      <c r="G16" s="22">
        <v>61279.9</v>
      </c>
      <c r="H16" s="23" t="s">
        <v>8</v>
      </c>
      <c r="I16" s="24"/>
      <c r="J16" s="25">
        <v>68392.73</v>
      </c>
      <c r="K16" s="26" t="s">
        <v>9</v>
      </c>
      <c r="L16" s="13"/>
      <c r="N16" s="3"/>
    </row>
    <row r="17" spans="2:18">
      <c r="B17" s="379" t="s">
        <v>11</v>
      </c>
      <c r="C17" s="380"/>
      <c r="D17" s="381"/>
      <c r="E17" s="20">
        <f>G29+G31+G30+G28</f>
        <v>14143.28</v>
      </c>
      <c r="F17" s="153">
        <f>+F15-F16</f>
        <v>2458673.6799999997</v>
      </c>
      <c r="G17" s="22">
        <v>29238.06</v>
      </c>
      <c r="H17" s="29" t="s">
        <v>10</v>
      </c>
      <c r="I17" s="30"/>
      <c r="J17" s="25">
        <v>174887.81</v>
      </c>
      <c r="K17" s="31" t="s">
        <v>10</v>
      </c>
      <c r="N17" s="3"/>
    </row>
    <row r="18" spans="2:18">
      <c r="B18" s="344" t="s">
        <v>13</v>
      </c>
      <c r="C18" s="345"/>
      <c r="D18" s="346"/>
      <c r="E18" s="20">
        <v>16675901.77</v>
      </c>
      <c r="F18" s="153"/>
      <c r="G18" s="22">
        <v>18452.560000000001</v>
      </c>
      <c r="H18" s="29" t="s">
        <v>12</v>
      </c>
      <c r="I18" s="30"/>
      <c r="J18" s="25">
        <v>2098631.5699999998</v>
      </c>
      <c r="K18" s="31" t="s">
        <v>12</v>
      </c>
      <c r="L18" s="152"/>
      <c r="N18" s="3"/>
    </row>
    <row r="19" spans="2:18">
      <c r="B19" s="187" t="s">
        <v>15</v>
      </c>
      <c r="C19" s="188"/>
      <c r="D19" s="189"/>
      <c r="E19" s="190">
        <f>SUM(E20:E23)</f>
        <v>930162.24</v>
      </c>
      <c r="F19" s="153"/>
      <c r="G19" s="33"/>
      <c r="H19" s="34"/>
      <c r="I19" s="30"/>
      <c r="J19" s="25">
        <v>54283.05</v>
      </c>
      <c r="K19" s="31" t="s">
        <v>14</v>
      </c>
      <c r="L19" s="294"/>
      <c r="M19" s="294"/>
      <c r="N19" s="268"/>
    </row>
    <row r="20" spans="2:18">
      <c r="B20" s="187"/>
      <c r="C20" s="188"/>
      <c r="D20" s="198" t="s">
        <v>370</v>
      </c>
      <c r="E20" s="190">
        <v>923712.64</v>
      </c>
      <c r="F20" s="153"/>
      <c r="G20" s="239"/>
      <c r="H20" s="240"/>
      <c r="I20" s="30"/>
      <c r="J20" s="25"/>
      <c r="K20" s="31"/>
      <c r="L20" s="294"/>
      <c r="M20" s="294"/>
    </row>
    <row r="21" spans="2:18">
      <c r="B21" s="187"/>
      <c r="C21" s="188"/>
      <c r="D21" s="198" t="s">
        <v>371</v>
      </c>
      <c r="E21" s="190">
        <v>6449.6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</row>
    <row r="22" spans="2:18">
      <c r="B22" s="187"/>
      <c r="C22" s="188"/>
      <c r="D22" s="198"/>
      <c r="E22" s="190"/>
      <c r="F22" s="153"/>
      <c r="G22" s="44">
        <v>17295.04</v>
      </c>
      <c r="H22" s="29" t="s">
        <v>10</v>
      </c>
      <c r="I22" s="30"/>
      <c r="J22" s="25">
        <v>11107</v>
      </c>
      <c r="K22" s="31" t="s">
        <v>188</v>
      </c>
      <c r="L22" s="294"/>
      <c r="M22" s="294"/>
      <c r="O22" s="235"/>
    </row>
    <row r="23" spans="2:18">
      <c r="B23" s="187"/>
      <c r="C23" s="188"/>
      <c r="D23" s="198"/>
      <c r="E23" s="190"/>
      <c r="F23" s="153"/>
      <c r="G23" s="44">
        <v>26212.959999999999</v>
      </c>
      <c r="H23" s="29" t="s">
        <v>18</v>
      </c>
      <c r="I23" s="30"/>
      <c r="J23" s="25"/>
      <c r="K23" s="31"/>
    </row>
    <row r="24" spans="2:18" ht="15" thickBot="1">
      <c r="B24" s="46" t="s">
        <v>17</v>
      </c>
      <c r="C24" s="47"/>
      <c r="D24" s="48"/>
      <c r="E24" s="234">
        <v>0</v>
      </c>
      <c r="F24" s="220"/>
      <c r="G24" s="51"/>
      <c r="H24" s="34"/>
      <c r="I24" s="30"/>
      <c r="J24" s="210"/>
      <c r="K24" s="53"/>
      <c r="N24" s="290"/>
    </row>
    <row r="25" spans="2:18" ht="15" thickBot="1">
      <c r="B25" s="202" t="s">
        <v>368</v>
      </c>
      <c r="C25" s="203"/>
      <c r="D25" s="204"/>
      <c r="E25" s="234">
        <v>1400000</v>
      </c>
      <c r="F25" s="153">
        <f>+F17-E24</f>
        <v>2458673.6799999997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199" t="s">
        <v>22</v>
      </c>
      <c r="C26" s="200"/>
      <c r="D26" s="201"/>
      <c r="E26" s="234">
        <f>9049.8+2158.6</f>
        <v>11208.4</v>
      </c>
      <c r="F26" s="288">
        <f>SUM(E24:E30)</f>
        <v>1411208.4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105</v>
      </c>
      <c r="C27" s="200"/>
      <c r="D27" s="201"/>
      <c r="E27" s="234">
        <v>0</v>
      </c>
      <c r="F27" s="153">
        <f>+F25-F26</f>
        <v>1047465.2799999998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199" t="s">
        <v>80</v>
      </c>
      <c r="C28" s="200"/>
      <c r="D28" s="201"/>
      <c r="E28" s="49">
        <v>0</v>
      </c>
      <c r="F28" s="221"/>
      <c r="G28" s="22">
        <v>4159.01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344" t="s">
        <v>69</v>
      </c>
      <c r="C29" s="345"/>
      <c r="D29" s="346"/>
      <c r="E29" s="49">
        <v>0</v>
      </c>
      <c r="F29" s="220"/>
      <c r="G29" s="22">
        <v>974.7</v>
      </c>
      <c r="H29" s="62" t="s">
        <v>26</v>
      </c>
      <c r="I29" s="63"/>
      <c r="J29" s="64" t="s">
        <v>27</v>
      </c>
      <c r="K29" s="65" t="s">
        <v>28</v>
      </c>
    </row>
    <row r="30" spans="2:18" ht="15" thickBot="1">
      <c r="B30" s="363" t="s">
        <v>29</v>
      </c>
      <c r="C30" s="364"/>
      <c r="D30" s="365"/>
      <c r="E30" s="66">
        <v>0</v>
      </c>
      <c r="F30" s="220"/>
      <c r="G30" s="67">
        <v>1770.46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E31" s="79"/>
      <c r="F31" s="220"/>
      <c r="G31" s="71">
        <v>7239.11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79"/>
      <c r="F32" s="220"/>
      <c r="N32" s="269"/>
      <c r="P32" s="155"/>
      <c r="R32" s="155"/>
    </row>
    <row r="33" spans="2:18">
      <c r="E33" s="79"/>
      <c r="F33" s="220"/>
    </row>
    <row r="34" spans="2:18">
      <c r="E34" s="79"/>
      <c r="F34" s="220"/>
      <c r="H34" s="61"/>
      <c r="I34" s="61"/>
      <c r="J34" s="13"/>
      <c r="K34" s="61"/>
      <c r="L34" s="61"/>
      <c r="M34" s="61"/>
      <c r="N34" s="269"/>
      <c r="P34" s="155"/>
      <c r="R34" s="155"/>
    </row>
    <row r="35" spans="2:18">
      <c r="B35" s="61"/>
      <c r="C35" s="61"/>
      <c r="D35" s="61"/>
      <c r="E35" s="181" t="s">
        <v>354</v>
      </c>
      <c r="F35" s="220"/>
      <c r="H35" s="61"/>
      <c r="I35" s="61"/>
      <c r="J35" s="13"/>
      <c r="K35" s="61"/>
      <c r="L35" s="61"/>
      <c r="M35" s="61"/>
    </row>
    <row r="36" spans="2:18" s="61" customFormat="1" ht="15" customHeight="1">
      <c r="E36" s="181"/>
      <c r="F36" s="222"/>
      <c r="G36" s="8"/>
      <c r="H36" s="13"/>
      <c r="J36" s="13"/>
      <c r="K36" s="83"/>
      <c r="L36" s="88"/>
      <c r="N36" s="272"/>
      <c r="P36" s="273"/>
      <c r="R36" s="273"/>
    </row>
    <row r="37" spans="2:18" s="61" customFormat="1" ht="15" customHeight="1">
      <c r="E37" s="8" t="s">
        <v>34</v>
      </c>
      <c r="F37" s="222"/>
      <c r="G37" s="181"/>
      <c r="H37" s="161"/>
      <c r="I37" s="197"/>
      <c r="J37" s="13"/>
      <c r="K37" s="83"/>
      <c r="L37" s="161"/>
      <c r="M37" s="197"/>
    </row>
    <row r="38" spans="2:18" s="61" customFormat="1" ht="15" customHeight="1">
      <c r="E38" s="8" t="s">
        <v>35</v>
      </c>
      <c r="F38" s="222">
        <f>F17</f>
        <v>2458673.6799999997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2:18" s="61" customFormat="1" ht="15" customHeight="1">
      <c r="E39" s="8" t="s">
        <v>36</v>
      </c>
      <c r="F39" s="222">
        <f>+E17</f>
        <v>14143.28</v>
      </c>
      <c r="G39" s="86"/>
      <c r="I39" s="197"/>
      <c r="J39" s="13"/>
      <c r="K39" s="85"/>
      <c r="M39" s="197"/>
    </row>
    <row r="40" spans="2:18" s="61" customFormat="1" ht="15" customHeight="1">
      <c r="E40" s="8" t="s">
        <v>37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2:18" s="61" customFormat="1" ht="15" customHeight="1">
      <c r="E41" s="182" t="s">
        <v>38</v>
      </c>
      <c r="F41" s="222">
        <v>0</v>
      </c>
      <c r="G41" s="9"/>
      <c r="I41" s="197"/>
      <c r="J41" s="13"/>
      <c r="M41" s="197"/>
    </row>
    <row r="42" spans="2:18" s="61" customFormat="1" ht="15" customHeight="1">
      <c r="E42" s="183"/>
      <c r="F42" s="223">
        <f>SUM(F38:F41)</f>
        <v>2472816.9599999995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183" t="s">
        <v>152</v>
      </c>
      <c r="F43" s="224"/>
      <c r="G43" s="9"/>
      <c r="H43" s="163"/>
      <c r="I43" s="229"/>
      <c r="J43" s="13"/>
      <c r="L43" s="163"/>
      <c r="M43" s="229"/>
    </row>
    <row r="44" spans="2:18" s="61" customFormat="1" ht="15" customHeight="1">
      <c r="E44" s="183" t="s">
        <v>355</v>
      </c>
      <c r="F44" s="224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2:18" s="61" customFormat="1" ht="15" customHeight="1">
      <c r="E45" s="183" t="s">
        <v>356</v>
      </c>
      <c r="F45" s="224">
        <v>1300000</v>
      </c>
      <c r="G45" s="9"/>
      <c r="H45" s="165"/>
      <c r="I45" s="230"/>
      <c r="J45" s="13"/>
    </row>
    <row r="46" spans="2:18" s="61" customFormat="1" ht="15" customHeight="1">
      <c r="E46" s="183" t="s">
        <v>64</v>
      </c>
      <c r="F46" s="224">
        <v>120000</v>
      </c>
      <c r="G46" s="9"/>
      <c r="H46" s="165"/>
      <c r="I46" s="230"/>
      <c r="J46" s="13"/>
    </row>
    <row r="47" spans="2:18" s="61" customFormat="1" ht="15" customHeight="1">
      <c r="E47" s="183" t="s">
        <v>69</v>
      </c>
      <c r="F47" s="224">
        <v>0</v>
      </c>
      <c r="G47" s="9"/>
      <c r="H47" s="165"/>
      <c r="I47" s="230"/>
      <c r="J47" s="13"/>
    </row>
    <row r="48" spans="2:18" s="61" customFormat="1" ht="15" customHeight="1">
      <c r="E48" s="116" t="s">
        <v>24</v>
      </c>
      <c r="F48" s="224">
        <v>60000</v>
      </c>
      <c r="G48" s="9"/>
      <c r="H48" s="165"/>
      <c r="I48" s="230"/>
      <c r="J48" s="13"/>
    </row>
    <row r="49" spans="2:13" s="61" customFormat="1" ht="15" customHeight="1">
      <c r="E49" s="116" t="s">
        <v>22</v>
      </c>
      <c r="F49" s="220">
        <v>0</v>
      </c>
      <c r="G49" s="9"/>
      <c r="H49" s="165"/>
      <c r="I49" s="230"/>
      <c r="J49" s="13"/>
    </row>
    <row r="50" spans="2:13" s="61" customFormat="1">
      <c r="E50" s="116" t="s">
        <v>40</v>
      </c>
      <c r="F50" s="220">
        <v>50000</v>
      </c>
      <c r="G50" s="8"/>
      <c r="H50" s="91"/>
      <c r="I50" s="231"/>
      <c r="J50" s="13"/>
    </row>
    <row r="51" spans="2:13" s="61" customFormat="1">
      <c r="E51" s="118" t="s">
        <v>41</v>
      </c>
      <c r="F51" s="226">
        <f>200000-90000-60000</f>
        <v>50000</v>
      </c>
      <c r="G51" s="8"/>
      <c r="H51" s="96"/>
      <c r="I51" s="231"/>
      <c r="J51" s="262"/>
    </row>
    <row r="52" spans="2:13" s="61" customFormat="1">
      <c r="E52" s="118" t="s">
        <v>42</v>
      </c>
      <c r="F52" s="225">
        <f>SUM(F44:F51)</f>
        <v>1705000</v>
      </c>
      <c r="G52" s="82"/>
      <c r="H52" s="83"/>
      <c r="I52" s="228"/>
      <c r="J52" s="13"/>
    </row>
    <row r="53" spans="2:13" s="61" customFormat="1">
      <c r="E53" s="8"/>
      <c r="F53" s="225">
        <f>F42-F52</f>
        <v>767816.9599999995</v>
      </c>
      <c r="G53" s="82"/>
      <c r="H53" s="83"/>
      <c r="I53" s="233"/>
      <c r="J53" s="13"/>
      <c r="L53" s="91"/>
      <c r="M53" s="232"/>
    </row>
    <row r="54" spans="2:13" s="61" customFormat="1">
      <c r="E54" s="82" t="s">
        <v>43</v>
      </c>
      <c r="F54" s="154"/>
      <c r="G54" s="82"/>
      <c r="H54" s="83"/>
      <c r="I54" s="233"/>
      <c r="J54" s="13"/>
      <c r="L54" s="91"/>
      <c r="M54" s="232"/>
    </row>
    <row r="55" spans="2:13" s="61" customFormat="1">
      <c r="E55" s="82" t="s">
        <v>44</v>
      </c>
      <c r="F55" s="80">
        <f>43800+180000</f>
        <v>223800</v>
      </c>
      <c r="G55" s="82"/>
      <c r="H55" s="83"/>
      <c r="I55" s="233"/>
      <c r="J55" s="13"/>
      <c r="L55" s="96"/>
      <c r="M55" s="231"/>
    </row>
    <row r="56" spans="2:13" s="61" customFormat="1">
      <c r="E56" s="82" t="s">
        <v>45</v>
      </c>
      <c r="F56" s="80">
        <v>365000</v>
      </c>
      <c r="G56" s="82"/>
      <c r="H56" s="96"/>
      <c r="I56" s="228"/>
      <c r="J56" s="13"/>
      <c r="L56" s="96"/>
      <c r="M56" s="233"/>
    </row>
    <row r="57" spans="2:13" s="61" customFormat="1">
      <c r="E57" s="82" t="s">
        <v>205</v>
      </c>
      <c r="F57" s="117">
        <v>0</v>
      </c>
      <c r="G57" s="82"/>
      <c r="H57" s="83"/>
      <c r="I57" s="233"/>
      <c r="J57" s="13"/>
    </row>
    <row r="58" spans="2:13" s="61" customFormat="1">
      <c r="B58"/>
      <c r="C58"/>
      <c r="D58"/>
      <c r="E58" s="82" t="s">
        <v>206</v>
      </c>
      <c r="F58" s="117">
        <v>0</v>
      </c>
      <c r="G58"/>
      <c r="H58" s="96"/>
      <c r="I58" s="219"/>
      <c r="J58" s="13"/>
      <c r="L58" s="83"/>
      <c r="M58" s="228"/>
    </row>
    <row r="59" spans="2:13">
      <c r="E59" s="118" t="s">
        <v>46</v>
      </c>
      <c r="F59" s="117">
        <v>0</v>
      </c>
      <c r="H59" s="61"/>
      <c r="I59" s="61"/>
      <c r="J59" s="13"/>
      <c r="K59" s="61"/>
      <c r="L59" s="61"/>
      <c r="M59" s="61"/>
    </row>
    <row r="60" spans="2:13">
      <c r="E60" s="82"/>
      <c r="F60" s="120">
        <f>SUM(F55:F59)</f>
        <v>588800</v>
      </c>
      <c r="H60" s="61"/>
      <c r="I60" s="61"/>
      <c r="J60" s="13"/>
      <c r="K60" s="61"/>
      <c r="L60" s="61"/>
      <c r="M60" s="61"/>
    </row>
    <row r="61" spans="2:13">
      <c r="E61" s="118" t="s">
        <v>47</v>
      </c>
      <c r="F61" s="80"/>
    </row>
    <row r="62" spans="2:13">
      <c r="D62" s="247" t="s">
        <v>192</v>
      </c>
      <c r="E62" s="8"/>
      <c r="F62" s="120">
        <f>F53-F60</f>
        <v>179016.9599999995</v>
      </c>
      <c r="G62" s="8"/>
    </row>
    <row r="63" spans="2:13">
      <c r="D63" s="247" t="s">
        <v>194</v>
      </c>
      <c r="E63" s="8"/>
      <c r="F63" s="220"/>
      <c r="G63" s="8"/>
    </row>
    <row r="64" spans="2:13">
      <c r="D64" s="8" t="s">
        <v>9</v>
      </c>
      <c r="E64" s="8"/>
      <c r="G64" s="8"/>
    </row>
    <row r="65" spans="1:7">
      <c r="D65" s="8" t="s">
        <v>195</v>
      </c>
      <c r="E65" s="8"/>
      <c r="G65" s="8"/>
    </row>
    <row r="66" spans="1:7">
      <c r="D66" s="8" t="s">
        <v>188</v>
      </c>
      <c r="E66" s="247"/>
      <c r="G66" s="124">
        <f>SUM(E72:F72)</f>
        <v>0</v>
      </c>
    </row>
    <row r="67" spans="1:7">
      <c r="D67" s="8"/>
      <c r="E67" s="247"/>
      <c r="F67" s="275"/>
      <c r="G67" s="8"/>
    </row>
    <row r="68" spans="1:7">
      <c r="E68" s="249"/>
      <c r="F68" s="286"/>
    </row>
    <row r="69" spans="1:7">
      <c r="E69" s="249"/>
      <c r="F69" s="246"/>
    </row>
    <row r="70" spans="1:7">
      <c r="E70" s="249"/>
      <c r="F70" s="287"/>
    </row>
    <row r="71" spans="1:7">
      <c r="E71" s="124"/>
      <c r="F71" s="287"/>
    </row>
    <row r="72" spans="1:7">
      <c r="E72" s="8"/>
      <c r="F72" s="287"/>
    </row>
    <row r="73" spans="1:7">
      <c r="E73" s="8"/>
    </row>
    <row r="74" spans="1:7">
      <c r="A74" s="268"/>
      <c r="E74" s="8"/>
    </row>
    <row r="75" spans="1:7">
      <c r="E75" s="8"/>
    </row>
    <row r="76" spans="1:7">
      <c r="B76" s="235"/>
      <c r="E76" s="8"/>
    </row>
    <row r="77" spans="1:7">
      <c r="E77" s="8"/>
    </row>
    <row r="78" spans="1:7">
      <c r="E78" s="293"/>
    </row>
    <row r="79" spans="1:7">
      <c r="C79" s="155"/>
      <c r="E79" s="8"/>
    </row>
    <row r="80" spans="1:7">
      <c r="A80" s="269"/>
      <c r="E80" s="293"/>
    </row>
    <row r="81" spans="1:5">
      <c r="C81" s="155"/>
      <c r="E81" s="8"/>
    </row>
    <row r="82" spans="1:5">
      <c r="A82" s="269"/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77"/>
    </row>
    <row r="111" spans="1:5">
      <c r="C111" s="155"/>
      <c r="E111" s="79"/>
    </row>
    <row r="112" spans="1:5">
      <c r="A112" s="269"/>
      <c r="E112" s="277"/>
    </row>
    <row r="113" spans="1:5">
      <c r="C113" s="155"/>
      <c r="E113" s="79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</row>
    <row r="124" spans="1:5">
      <c r="A124" s="269"/>
      <c r="E124" s="155"/>
    </row>
    <row r="125" spans="1:5">
      <c r="C125" s="155"/>
    </row>
    <row r="126" spans="1:5">
      <c r="A126" s="269"/>
      <c r="E126" s="155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D199" s="155"/>
    </row>
    <row r="200" spans="1:5">
      <c r="A200" s="269"/>
      <c r="E200" s="155"/>
    </row>
    <row r="201" spans="1:5">
      <c r="C201" s="155"/>
    </row>
    <row r="202" spans="1:5">
      <c r="A202" s="269"/>
      <c r="E202" s="155"/>
    </row>
    <row r="203" spans="1:5">
      <c r="C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3">
      <c r="C209" s="155"/>
    </row>
    <row r="210" spans="1:3">
      <c r="A210" s="269"/>
    </row>
  </sheetData>
  <mergeCells count="15">
    <mergeCell ref="B15:D15"/>
    <mergeCell ref="G15:H15"/>
    <mergeCell ref="J15:K15"/>
    <mergeCell ref="E10:F10"/>
    <mergeCell ref="B12:D12"/>
    <mergeCell ref="B13:D13"/>
    <mergeCell ref="B14:D14"/>
    <mergeCell ref="G14:K14"/>
    <mergeCell ref="B30:D30"/>
    <mergeCell ref="B17:D17"/>
    <mergeCell ref="B18:D18"/>
    <mergeCell ref="G21:H21"/>
    <mergeCell ref="G25:K25"/>
    <mergeCell ref="G27:H27"/>
    <mergeCell ref="B29:D29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85FD4-5029-4095-90E3-B37960804D63}">
  <dimension ref="A6:R210"/>
  <sheetViews>
    <sheetView showGridLines="0" topLeftCell="C12" workbookViewId="0">
      <selection activeCell="G16" sqref="G1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7.5">
      <c r="A12" s="11"/>
      <c r="B12" s="334" t="s">
        <v>3</v>
      </c>
      <c r="C12" s="335"/>
      <c r="D12" s="336"/>
      <c r="E12" s="17">
        <f>SUM(E13:E15)</f>
        <v>1348836.48</v>
      </c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337" t="s">
        <v>5</v>
      </c>
      <c r="C13" s="338"/>
      <c r="D13" s="339"/>
      <c r="E13" s="20">
        <f>J16+J17+J18+J19</f>
        <v>1104590.96</v>
      </c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49" t="s">
        <v>7</v>
      </c>
      <c r="C14" s="350"/>
      <c r="D14" s="351"/>
      <c r="E14" s="20">
        <f>G22+G23</f>
        <v>40486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52" t="s">
        <v>6</v>
      </c>
      <c r="C15" s="353"/>
      <c r="D15" s="354"/>
      <c r="E15" s="28">
        <f>G16+G17+G18</f>
        <v>203759.52000000002</v>
      </c>
      <c r="F15" s="153">
        <f>E13+E14+E15</f>
        <v>1348836.48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236" t="s">
        <v>187</v>
      </c>
      <c r="C16" s="237"/>
      <c r="D16" s="238"/>
      <c r="E16" s="28">
        <f>+J22</f>
        <v>11107</v>
      </c>
      <c r="F16" s="153">
        <v>90000</v>
      </c>
      <c r="G16" s="22">
        <v>61279.9</v>
      </c>
      <c r="H16" s="23" t="s">
        <v>8</v>
      </c>
      <c r="I16" s="24"/>
      <c r="J16" s="25">
        <v>55411.13</v>
      </c>
      <c r="K16" s="26" t="s">
        <v>9</v>
      </c>
      <c r="L16" s="13"/>
      <c r="N16" s="3"/>
    </row>
    <row r="17" spans="2:18">
      <c r="B17" s="379" t="s">
        <v>11</v>
      </c>
      <c r="C17" s="380"/>
      <c r="D17" s="381"/>
      <c r="E17" s="20">
        <f>G29+G31+G30+G28</f>
        <v>14146.64</v>
      </c>
      <c r="F17" s="153">
        <f>+F15-F16</f>
        <v>1258836.48</v>
      </c>
      <c r="G17" s="22">
        <v>23908.26</v>
      </c>
      <c r="H17" s="29" t="s">
        <v>10</v>
      </c>
      <c r="I17" s="30"/>
      <c r="J17" s="25">
        <v>54280.17</v>
      </c>
      <c r="K17" s="31" t="s">
        <v>10</v>
      </c>
      <c r="N17" s="3"/>
    </row>
    <row r="18" spans="2:18">
      <c r="B18" s="344" t="s">
        <v>13</v>
      </c>
      <c r="C18" s="345"/>
      <c r="D18" s="346"/>
      <c r="E18" s="20">
        <v>16074087.9</v>
      </c>
      <c r="F18" s="153"/>
      <c r="G18" s="22">
        <v>118571.36</v>
      </c>
      <c r="H18" s="29" t="s">
        <v>12</v>
      </c>
      <c r="I18" s="30"/>
      <c r="J18" s="25">
        <v>937861.77</v>
      </c>
      <c r="K18" s="31" t="s">
        <v>12</v>
      </c>
      <c r="L18" s="152"/>
      <c r="N18" s="3"/>
    </row>
    <row r="19" spans="2:18">
      <c r="B19" s="187" t="s">
        <v>15</v>
      </c>
      <c r="C19" s="188"/>
      <c r="D19" s="189"/>
      <c r="E19" s="190">
        <f>SUM(E20:E23)</f>
        <v>174325.8</v>
      </c>
      <c r="F19" s="153"/>
      <c r="G19" s="33"/>
      <c r="H19" s="34"/>
      <c r="I19" s="30"/>
      <c r="J19" s="25">
        <v>57037.89</v>
      </c>
      <c r="K19" s="31" t="s">
        <v>14</v>
      </c>
      <c r="L19" s="294"/>
      <c r="M19" s="294"/>
      <c r="N19" s="268"/>
    </row>
    <row r="20" spans="2:18">
      <c r="B20" s="187"/>
      <c r="C20" s="188"/>
      <c r="D20" s="198" t="s">
        <v>372</v>
      </c>
      <c r="E20" s="190">
        <v>41858.36</v>
      </c>
      <c r="F20" s="153"/>
      <c r="G20" s="239"/>
      <c r="H20" s="240"/>
      <c r="I20" s="30"/>
      <c r="J20" s="25"/>
      <c r="K20" s="31"/>
      <c r="L20" s="294"/>
      <c r="M20" s="294"/>
    </row>
    <row r="21" spans="2:18">
      <c r="B21" s="187"/>
      <c r="C21" s="188"/>
      <c r="D21" s="198" t="s">
        <v>372</v>
      </c>
      <c r="E21" s="190">
        <v>38138.04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</row>
    <row r="22" spans="2:18">
      <c r="B22" s="187"/>
      <c r="C22" s="188"/>
      <c r="D22" s="198" t="s">
        <v>93</v>
      </c>
      <c r="E22" s="190">
        <v>94329.4</v>
      </c>
      <c r="F22" s="153"/>
      <c r="G22" s="44">
        <v>17295.04</v>
      </c>
      <c r="H22" s="29" t="s">
        <v>10</v>
      </c>
      <c r="I22" s="30"/>
      <c r="J22" s="25">
        <v>11107</v>
      </c>
      <c r="K22" s="31" t="s">
        <v>188</v>
      </c>
      <c r="L22" s="294"/>
      <c r="M22" s="294"/>
      <c r="O22" s="235"/>
    </row>
    <row r="23" spans="2:18">
      <c r="B23" s="187"/>
      <c r="C23" s="188"/>
      <c r="D23" s="198"/>
      <c r="E23" s="190"/>
      <c r="F23" s="153"/>
      <c r="G23" s="44">
        <v>23190.959999999999</v>
      </c>
      <c r="H23" s="29" t="s">
        <v>18</v>
      </c>
      <c r="I23" s="30"/>
      <c r="J23" s="25"/>
      <c r="K23" s="31"/>
    </row>
    <row r="24" spans="2:18" ht="15" thickBot="1">
      <c r="B24" s="46" t="s">
        <v>17</v>
      </c>
      <c r="C24" s="47"/>
      <c r="D24" s="48"/>
      <c r="E24" s="234">
        <v>30000</v>
      </c>
      <c r="F24" s="220"/>
      <c r="G24" s="51"/>
      <c r="H24" s="34"/>
      <c r="I24" s="30"/>
      <c r="J24" s="210"/>
      <c r="K24" s="53"/>
      <c r="N24" s="290"/>
    </row>
    <row r="25" spans="2:18" ht="15" thickBot="1">
      <c r="B25" s="202" t="s">
        <v>368</v>
      </c>
      <c r="C25" s="203"/>
      <c r="D25" s="204"/>
      <c r="E25" s="234">
        <v>0</v>
      </c>
      <c r="F25" s="153">
        <f>+F17-E24</f>
        <v>1228836.48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199" t="s">
        <v>22</v>
      </c>
      <c r="C26" s="200"/>
      <c r="D26" s="201"/>
      <c r="E26" s="234">
        <v>0</v>
      </c>
      <c r="F26" s="288">
        <f>SUM(E24:E30)</f>
        <v>30000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105</v>
      </c>
      <c r="C27" s="200"/>
      <c r="D27" s="201"/>
      <c r="E27" s="234">
        <v>0</v>
      </c>
      <c r="F27" s="153">
        <f>+F25-F26</f>
        <v>1198836.48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199" t="s">
        <v>80</v>
      </c>
      <c r="C28" s="200"/>
      <c r="D28" s="201"/>
      <c r="E28" s="49">
        <v>0</v>
      </c>
      <c r="F28" s="221"/>
      <c r="G28" s="22">
        <v>4160.07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344" t="s">
        <v>69</v>
      </c>
      <c r="C29" s="345"/>
      <c r="D29" s="346"/>
      <c r="E29" s="49">
        <v>0</v>
      </c>
      <c r="F29" s="220"/>
      <c r="G29" s="22">
        <v>974.8</v>
      </c>
      <c r="H29" s="62" t="s">
        <v>26</v>
      </c>
      <c r="I29" s="63"/>
      <c r="J29" s="64" t="s">
        <v>27</v>
      </c>
      <c r="K29" s="65" t="s">
        <v>28</v>
      </c>
    </row>
    <row r="30" spans="2:18" ht="15" thickBot="1">
      <c r="B30" s="363" t="s">
        <v>29</v>
      </c>
      <c r="C30" s="364"/>
      <c r="D30" s="365"/>
      <c r="E30" s="66">
        <v>0</v>
      </c>
      <c r="F30" s="220"/>
      <c r="G30" s="67">
        <v>1770.8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E31" s="79"/>
      <c r="F31" s="220"/>
      <c r="G31" s="71">
        <v>7240.97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79"/>
      <c r="F32" s="220"/>
      <c r="N32" s="269"/>
      <c r="P32" s="155"/>
      <c r="R32" s="155"/>
    </row>
    <row r="33" spans="2:18">
      <c r="E33" s="79"/>
      <c r="F33" s="220"/>
    </row>
    <row r="34" spans="2:18">
      <c r="E34" s="79"/>
      <c r="F34" s="220"/>
      <c r="H34" s="61" t="s">
        <v>374</v>
      </c>
      <c r="I34" s="61"/>
      <c r="J34" s="39">
        <v>21583.599999999999</v>
      </c>
      <c r="K34" s="61" t="s">
        <v>373</v>
      </c>
      <c r="L34" s="61"/>
      <c r="M34" s="61"/>
      <c r="N34" s="269"/>
      <c r="P34" s="155"/>
      <c r="R34" s="155"/>
    </row>
    <row r="35" spans="2:18">
      <c r="B35" s="61"/>
      <c r="C35" s="61"/>
      <c r="D35" s="61"/>
      <c r="E35" s="181" t="s">
        <v>354</v>
      </c>
      <c r="F35" s="220"/>
      <c r="H35" s="61"/>
      <c r="I35" s="61"/>
      <c r="J35" s="39">
        <v>20642.8</v>
      </c>
      <c r="K35" s="61" t="s">
        <v>375</v>
      </c>
      <c r="L35" s="61"/>
      <c r="M35" s="61"/>
    </row>
    <row r="36" spans="2:18" s="61" customFormat="1" ht="15" customHeight="1">
      <c r="E36" s="181"/>
      <c r="F36" s="222"/>
      <c r="G36" s="8"/>
      <c r="H36" s="13"/>
      <c r="J36" s="13"/>
      <c r="K36" s="83"/>
      <c r="L36" s="88"/>
      <c r="N36" s="272"/>
      <c r="P36" s="273"/>
      <c r="R36" s="273"/>
    </row>
    <row r="37" spans="2:18" s="61" customFormat="1" ht="15" customHeight="1">
      <c r="E37" s="8" t="s">
        <v>34</v>
      </c>
      <c r="F37" s="222"/>
      <c r="G37" s="181"/>
      <c r="H37" s="161"/>
      <c r="I37" s="197"/>
      <c r="J37" s="13"/>
      <c r="K37" s="83"/>
      <c r="L37" s="161"/>
      <c r="M37" s="197"/>
    </row>
    <row r="38" spans="2:18" s="61" customFormat="1" ht="15" customHeight="1">
      <c r="E38" s="8" t="s">
        <v>35</v>
      </c>
      <c r="F38" s="222">
        <f>F17</f>
        <v>1258836.48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2:18" s="61" customFormat="1" ht="15" customHeight="1">
      <c r="E39" s="8" t="s">
        <v>36</v>
      </c>
      <c r="F39" s="222">
        <f>+E17</f>
        <v>14146.64</v>
      </c>
      <c r="G39" s="86"/>
      <c r="I39" s="197"/>
      <c r="J39" s="13"/>
      <c r="K39" s="85"/>
      <c r="M39" s="197"/>
    </row>
    <row r="40" spans="2:18" s="61" customFormat="1" ht="15" customHeight="1">
      <c r="E40" s="8" t="s">
        <v>37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2:18" s="61" customFormat="1" ht="15" customHeight="1">
      <c r="E41" s="182" t="s">
        <v>38</v>
      </c>
      <c r="F41" s="222">
        <v>0</v>
      </c>
      <c r="G41" s="9"/>
      <c r="I41" s="197"/>
      <c r="J41" s="13"/>
      <c r="M41" s="197"/>
    </row>
    <row r="42" spans="2:18" s="61" customFormat="1" ht="15" customHeight="1">
      <c r="E42" s="183"/>
      <c r="F42" s="223">
        <f>SUM(F38:F41)</f>
        <v>1272983.1199999999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183" t="s">
        <v>152</v>
      </c>
      <c r="F43" s="224"/>
      <c r="G43" s="9"/>
      <c r="H43" s="163"/>
      <c r="I43" s="229"/>
      <c r="J43" s="13"/>
      <c r="L43" s="163"/>
      <c r="M43" s="229"/>
    </row>
    <row r="44" spans="2:18" s="61" customFormat="1" ht="15" customHeight="1">
      <c r="E44" s="183" t="s">
        <v>355</v>
      </c>
      <c r="F44" s="224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2:18" s="61" customFormat="1" ht="15" customHeight="1">
      <c r="E45" s="183" t="s">
        <v>356</v>
      </c>
      <c r="F45" s="224">
        <v>1300000</v>
      </c>
      <c r="G45" s="9"/>
      <c r="H45" s="165"/>
      <c r="I45" s="230"/>
      <c r="J45" s="13"/>
    </row>
    <row r="46" spans="2:18" s="61" customFormat="1" ht="15" customHeight="1">
      <c r="E46" s="183" t="s">
        <v>64</v>
      </c>
      <c r="F46" s="224">
        <v>120000</v>
      </c>
      <c r="G46" s="9"/>
      <c r="H46" s="165"/>
      <c r="I46" s="230"/>
      <c r="J46" s="13"/>
    </row>
    <row r="47" spans="2:18" s="61" customFormat="1" ht="15" customHeight="1">
      <c r="E47" s="183" t="s">
        <v>69</v>
      </c>
      <c r="F47" s="224">
        <v>0</v>
      </c>
      <c r="G47" s="9"/>
      <c r="H47" s="165"/>
      <c r="I47" s="230"/>
      <c r="J47" s="13"/>
    </row>
    <row r="48" spans="2:18" s="61" customFormat="1" ht="15" customHeight="1">
      <c r="E48" s="116" t="s">
        <v>24</v>
      </c>
      <c r="F48" s="224">
        <v>60000</v>
      </c>
      <c r="G48" s="9"/>
      <c r="H48" s="165"/>
      <c r="I48" s="230"/>
      <c r="J48" s="13"/>
    </row>
    <row r="49" spans="2:13" s="61" customFormat="1" ht="15" customHeight="1">
      <c r="E49" s="116" t="s">
        <v>22</v>
      </c>
      <c r="F49" s="220">
        <v>0</v>
      </c>
      <c r="G49" s="9"/>
      <c r="H49" s="165"/>
      <c r="I49" s="230"/>
      <c r="J49" s="13"/>
    </row>
    <row r="50" spans="2:13" s="61" customFormat="1">
      <c r="E50" s="116" t="s">
        <v>40</v>
      </c>
      <c r="F50" s="220">
        <v>50000</v>
      </c>
      <c r="G50" s="8"/>
      <c r="H50" s="91"/>
      <c r="I50" s="231"/>
      <c r="J50" s="13"/>
    </row>
    <row r="51" spans="2:13" s="61" customFormat="1">
      <c r="E51" s="118" t="s">
        <v>41</v>
      </c>
      <c r="F51" s="226">
        <f>200000-90000-60000</f>
        <v>50000</v>
      </c>
      <c r="G51" s="8"/>
      <c r="H51" s="96"/>
      <c r="I51" s="231"/>
      <c r="J51" s="262"/>
    </row>
    <row r="52" spans="2:13" s="61" customFormat="1">
      <c r="E52" s="118" t="s">
        <v>42</v>
      </c>
      <c r="F52" s="225">
        <f>SUM(F44:F51)</f>
        <v>1705000</v>
      </c>
      <c r="G52" s="82"/>
      <c r="H52" s="83"/>
      <c r="I52" s="228"/>
      <c r="J52" s="13"/>
    </row>
    <row r="53" spans="2:13" s="61" customFormat="1">
      <c r="E53" s="8"/>
      <c r="F53" s="225">
        <f>F42-F52</f>
        <v>-432016.88000000012</v>
      </c>
      <c r="G53" s="82"/>
      <c r="H53" s="83"/>
      <c r="I53" s="233"/>
      <c r="J53" s="13"/>
      <c r="L53" s="91"/>
      <c r="M53" s="232"/>
    </row>
    <row r="54" spans="2:13" s="61" customFormat="1">
      <c r="E54" s="82" t="s">
        <v>43</v>
      </c>
      <c r="F54" s="154"/>
      <c r="G54" s="82"/>
      <c r="H54" s="83"/>
      <c r="I54" s="233"/>
      <c r="J54" s="13"/>
      <c r="L54" s="91"/>
      <c r="M54" s="232"/>
    </row>
    <row r="55" spans="2:13" s="61" customFormat="1">
      <c r="E55" s="82" t="s">
        <v>44</v>
      </c>
      <c r="F55" s="80">
        <f>43800+180000</f>
        <v>223800</v>
      </c>
      <c r="G55" s="82"/>
      <c r="H55" s="83"/>
      <c r="I55" s="233"/>
      <c r="J55" s="13"/>
      <c r="L55" s="96"/>
      <c r="M55" s="231"/>
    </row>
    <row r="56" spans="2:13" s="61" customFormat="1">
      <c r="E56" s="82" t="s">
        <v>45</v>
      </c>
      <c r="F56" s="80">
        <v>365000</v>
      </c>
      <c r="G56" s="82"/>
      <c r="H56" s="96"/>
      <c r="I56" s="228"/>
      <c r="J56" s="13"/>
      <c r="L56" s="96"/>
      <c r="M56" s="233"/>
    </row>
    <row r="57" spans="2:13" s="61" customFormat="1">
      <c r="E57" s="82" t="s">
        <v>205</v>
      </c>
      <c r="F57" s="117">
        <v>0</v>
      </c>
      <c r="G57" s="82"/>
      <c r="H57" s="83"/>
      <c r="I57" s="233"/>
      <c r="J57" s="13"/>
    </row>
    <row r="58" spans="2:13" s="61" customFormat="1">
      <c r="B58"/>
      <c r="C58"/>
      <c r="D58"/>
      <c r="E58" s="82" t="s">
        <v>206</v>
      </c>
      <c r="F58" s="117">
        <v>0</v>
      </c>
      <c r="G58"/>
      <c r="H58" s="96"/>
      <c r="I58" s="219"/>
      <c r="J58" s="13"/>
      <c r="L58" s="83"/>
      <c r="M58" s="228"/>
    </row>
    <row r="59" spans="2:13">
      <c r="E59" s="118" t="s">
        <v>46</v>
      </c>
      <c r="F59" s="117">
        <v>0</v>
      </c>
      <c r="H59" s="61"/>
      <c r="I59" s="61"/>
      <c r="J59" s="13"/>
      <c r="K59" s="61"/>
      <c r="L59" s="61"/>
      <c r="M59" s="61"/>
    </row>
    <row r="60" spans="2:13">
      <c r="E60" s="82"/>
      <c r="F60" s="120">
        <f>SUM(F55:F59)</f>
        <v>588800</v>
      </c>
      <c r="H60" s="61"/>
      <c r="I60" s="61"/>
      <c r="J60" s="13"/>
      <c r="K60" s="61"/>
      <c r="L60" s="61"/>
      <c r="M60" s="61"/>
    </row>
    <row r="61" spans="2:13">
      <c r="E61" s="118" t="s">
        <v>47</v>
      </c>
      <c r="F61" s="80"/>
    </row>
    <row r="62" spans="2:13">
      <c r="D62" s="247" t="s">
        <v>192</v>
      </c>
      <c r="E62" s="8"/>
      <c r="F62" s="120">
        <f>F53-F60</f>
        <v>-1020816.8800000001</v>
      </c>
      <c r="G62" s="8"/>
    </row>
    <row r="63" spans="2:13">
      <c r="D63" s="247" t="s">
        <v>194</v>
      </c>
      <c r="E63" s="8"/>
      <c r="F63" s="220"/>
      <c r="G63" s="8"/>
    </row>
    <row r="64" spans="2:13">
      <c r="D64" s="8" t="s">
        <v>9</v>
      </c>
      <c r="E64" s="8"/>
      <c r="G64" s="8"/>
    </row>
    <row r="65" spans="1:7">
      <c r="D65" s="8" t="s">
        <v>195</v>
      </c>
      <c r="E65" s="8"/>
      <c r="G65" s="8"/>
    </row>
    <row r="66" spans="1:7">
      <c r="D66" s="8" t="s">
        <v>188</v>
      </c>
      <c r="E66" s="247"/>
      <c r="G66" s="124">
        <f>SUM(E72:F72)</f>
        <v>0</v>
      </c>
    </row>
    <row r="67" spans="1:7">
      <c r="D67" s="8"/>
      <c r="E67" s="247"/>
      <c r="F67" s="275"/>
      <c r="G67" s="8"/>
    </row>
    <row r="68" spans="1:7">
      <c r="E68" s="249"/>
      <c r="F68" s="286"/>
    </row>
    <row r="69" spans="1:7">
      <c r="E69" s="249"/>
      <c r="F69" s="246"/>
    </row>
    <row r="70" spans="1:7">
      <c r="E70" s="249"/>
      <c r="F70" s="287"/>
    </row>
    <row r="71" spans="1:7">
      <c r="E71" s="124"/>
      <c r="F71" s="287"/>
    </row>
    <row r="72" spans="1:7">
      <c r="E72" s="8"/>
      <c r="F72" s="287"/>
    </row>
    <row r="73" spans="1:7">
      <c r="E73" s="8"/>
    </row>
    <row r="74" spans="1:7">
      <c r="A74" s="268"/>
      <c r="E74" s="8"/>
    </row>
    <row r="75" spans="1:7">
      <c r="E75" s="8"/>
    </row>
    <row r="76" spans="1:7">
      <c r="B76" s="235"/>
      <c r="E76" s="8"/>
    </row>
    <row r="77" spans="1:7">
      <c r="E77" s="8"/>
    </row>
    <row r="78" spans="1:7">
      <c r="E78" s="293"/>
    </row>
    <row r="79" spans="1:7">
      <c r="C79" s="155"/>
      <c r="E79" s="8"/>
    </row>
    <row r="80" spans="1:7">
      <c r="A80" s="269"/>
      <c r="E80" s="293"/>
    </row>
    <row r="81" spans="1:5">
      <c r="C81" s="155"/>
      <c r="E81" s="8"/>
    </row>
    <row r="82" spans="1:5">
      <c r="A82" s="269"/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77"/>
    </row>
    <row r="111" spans="1:5">
      <c r="C111" s="155"/>
      <c r="E111" s="79"/>
    </row>
    <row r="112" spans="1:5">
      <c r="A112" s="269"/>
      <c r="E112" s="277"/>
    </row>
    <row r="113" spans="1:5">
      <c r="C113" s="155"/>
      <c r="E113" s="79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</row>
    <row r="124" spans="1:5">
      <c r="A124" s="269"/>
      <c r="E124" s="155"/>
    </row>
    <row r="125" spans="1:5">
      <c r="C125" s="155"/>
    </row>
    <row r="126" spans="1:5">
      <c r="A126" s="269"/>
      <c r="E126" s="155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D199" s="155"/>
    </row>
    <row r="200" spans="1:5">
      <c r="A200" s="269"/>
      <c r="E200" s="155"/>
    </row>
    <row r="201" spans="1:5">
      <c r="C201" s="155"/>
    </row>
    <row r="202" spans="1:5">
      <c r="A202" s="269"/>
      <c r="E202" s="155"/>
    </row>
    <row r="203" spans="1:5">
      <c r="C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3">
      <c r="C209" s="155"/>
    </row>
    <row r="210" spans="1:3">
      <c r="A210" s="269"/>
    </row>
  </sheetData>
  <mergeCells count="15">
    <mergeCell ref="B30:D30"/>
    <mergeCell ref="B17:D17"/>
    <mergeCell ref="B18:D18"/>
    <mergeCell ref="G21:H21"/>
    <mergeCell ref="G25:K25"/>
    <mergeCell ref="G27:H27"/>
    <mergeCell ref="B29:D29"/>
    <mergeCell ref="B15:D15"/>
    <mergeCell ref="G15:H15"/>
    <mergeCell ref="J15:K15"/>
    <mergeCell ref="E10:F10"/>
    <mergeCell ref="B12:D12"/>
    <mergeCell ref="B13:D13"/>
    <mergeCell ref="B14:D14"/>
    <mergeCell ref="G14:K14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05BA7-EFE1-4353-A7E5-3FE7AE6828EC}">
  <dimension ref="A6:R210"/>
  <sheetViews>
    <sheetView showGridLines="0" topLeftCell="C12" workbookViewId="0">
      <selection activeCell="G27" sqref="G27:H27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7.5">
      <c r="A12" s="11"/>
      <c r="B12" s="334" t="s">
        <v>3</v>
      </c>
      <c r="C12" s="335"/>
      <c r="D12" s="336"/>
      <c r="E12" s="17">
        <f>SUM(E13:E15)</f>
        <v>1184549.5900000001</v>
      </c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337" t="s">
        <v>5</v>
      </c>
      <c r="C13" s="338"/>
      <c r="D13" s="339"/>
      <c r="E13" s="20">
        <f>J16+J17+J18+J19</f>
        <v>1064847.4200000002</v>
      </c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49" t="s">
        <v>7</v>
      </c>
      <c r="C14" s="350"/>
      <c r="D14" s="351"/>
      <c r="E14" s="20">
        <f>G22+G23</f>
        <v>28486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52" t="s">
        <v>6</v>
      </c>
      <c r="C15" s="353"/>
      <c r="D15" s="354"/>
      <c r="E15" s="28">
        <f>G16+G17+G18</f>
        <v>91216.17</v>
      </c>
      <c r="F15" s="153">
        <f>E13+E14+E15</f>
        <v>1184549.5900000001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236" t="s">
        <v>187</v>
      </c>
      <c r="C16" s="237"/>
      <c r="D16" s="238"/>
      <c r="E16" s="28">
        <f>+J22</f>
        <v>11107</v>
      </c>
      <c r="F16" s="153">
        <v>90000</v>
      </c>
      <c r="G16" s="22">
        <v>15783.06</v>
      </c>
      <c r="H16" s="23" t="s">
        <v>8</v>
      </c>
      <c r="I16" s="24"/>
      <c r="J16" s="25">
        <v>31361.33</v>
      </c>
      <c r="K16" s="26" t="s">
        <v>9</v>
      </c>
      <c r="L16" s="13"/>
      <c r="N16" s="3"/>
    </row>
    <row r="17" spans="2:18">
      <c r="B17" s="379" t="s">
        <v>11</v>
      </c>
      <c r="C17" s="380"/>
      <c r="D17" s="381"/>
      <c r="E17" s="20">
        <f>G29+G31+G30+G28</f>
        <v>14150.2</v>
      </c>
      <c r="F17" s="153">
        <f>+F15-F16</f>
        <v>1094549.5900000001</v>
      </c>
      <c r="G17" s="22">
        <v>12549.02</v>
      </c>
      <c r="H17" s="29" t="s">
        <v>10</v>
      </c>
      <c r="I17" s="30"/>
      <c r="J17" s="25">
        <v>54280.17</v>
      </c>
      <c r="K17" s="31" t="s">
        <v>10</v>
      </c>
      <c r="N17" s="3"/>
    </row>
    <row r="18" spans="2:18">
      <c r="B18" s="344" t="s">
        <v>13</v>
      </c>
      <c r="C18" s="345"/>
      <c r="D18" s="346"/>
      <c r="E18" s="20">
        <v>16012516.210000001</v>
      </c>
      <c r="F18" s="153"/>
      <c r="G18" s="22">
        <v>62884.09</v>
      </c>
      <c r="H18" s="29" t="s">
        <v>12</v>
      </c>
      <c r="I18" s="30"/>
      <c r="J18" s="25">
        <v>937861.68</v>
      </c>
      <c r="K18" s="31" t="s">
        <v>12</v>
      </c>
      <c r="L18" s="152"/>
      <c r="N18" s="3"/>
    </row>
    <row r="19" spans="2:18">
      <c r="B19" s="187" t="s">
        <v>15</v>
      </c>
      <c r="C19" s="188"/>
      <c r="D19" s="189"/>
      <c r="E19" s="190">
        <f>SUM(E20:E23)</f>
        <v>1740</v>
      </c>
      <c r="F19" s="153"/>
      <c r="G19" s="33"/>
      <c r="H19" s="34"/>
      <c r="I19" s="30"/>
      <c r="J19" s="25">
        <v>41344.239999999998</v>
      </c>
      <c r="K19" s="31" t="s">
        <v>14</v>
      </c>
      <c r="L19" s="294"/>
      <c r="M19" s="294"/>
      <c r="N19" s="268"/>
    </row>
    <row r="20" spans="2:18">
      <c r="B20" s="187"/>
      <c r="C20" s="188"/>
      <c r="D20" s="198" t="s">
        <v>376</v>
      </c>
      <c r="E20" s="190">
        <v>1334</v>
      </c>
      <c r="F20" s="153"/>
      <c r="G20" s="239"/>
      <c r="H20" s="240"/>
      <c r="I20" s="30"/>
      <c r="J20" s="25"/>
      <c r="K20" s="31"/>
      <c r="L20" s="294"/>
      <c r="M20" s="294"/>
    </row>
    <row r="21" spans="2:18">
      <c r="B21" s="187"/>
      <c r="C21" s="188"/>
      <c r="D21" s="198" t="s">
        <v>376</v>
      </c>
      <c r="E21" s="190">
        <v>406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</row>
    <row r="22" spans="2:18">
      <c r="B22" s="187"/>
      <c r="C22" s="188"/>
      <c r="D22" s="198"/>
      <c r="E22" s="190"/>
      <c r="F22" s="153"/>
      <c r="G22" s="44">
        <v>17295.04</v>
      </c>
      <c r="H22" s="29" t="s">
        <v>10</v>
      </c>
      <c r="I22" s="30"/>
      <c r="J22" s="25">
        <v>11107</v>
      </c>
      <c r="K22" s="31" t="s">
        <v>188</v>
      </c>
      <c r="L22" s="294"/>
      <c r="M22" s="294"/>
      <c r="O22" s="235"/>
    </row>
    <row r="23" spans="2:18">
      <c r="B23" s="187"/>
      <c r="C23" s="188"/>
      <c r="D23" s="198"/>
      <c r="E23" s="190"/>
      <c r="F23" s="153"/>
      <c r="G23" s="44">
        <f>23190.96-12000</f>
        <v>11190.96</v>
      </c>
      <c r="H23" s="29" t="s">
        <v>18</v>
      </c>
      <c r="I23" s="30"/>
      <c r="J23" s="25"/>
      <c r="K23" s="31"/>
    </row>
    <row r="24" spans="2:18" ht="15" thickBot="1">
      <c r="B24" s="46" t="s">
        <v>17</v>
      </c>
      <c r="C24" s="47"/>
      <c r="D24" s="48"/>
      <c r="E24" s="234">
        <v>0</v>
      </c>
      <c r="F24" s="220"/>
      <c r="G24" s="51"/>
      <c r="H24" s="34"/>
      <c r="I24" s="30"/>
      <c r="J24" s="210"/>
      <c r="K24" s="53"/>
      <c r="N24" s="290"/>
    </row>
    <row r="25" spans="2:18" ht="15" thickBot="1">
      <c r="B25" s="202" t="s">
        <v>368</v>
      </c>
      <c r="C25" s="203"/>
      <c r="D25" s="204"/>
      <c r="E25" s="234">
        <v>0</v>
      </c>
      <c r="F25" s="153">
        <f>+F17-E24</f>
        <v>1094549.5900000001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199" t="s">
        <v>22</v>
      </c>
      <c r="C26" s="200"/>
      <c r="D26" s="201"/>
      <c r="E26" s="234">
        <v>5702</v>
      </c>
      <c r="F26" s="288">
        <f>SUM(E24:E30)</f>
        <v>245024.49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25</v>
      </c>
      <c r="C27" s="200"/>
      <c r="D27" s="201"/>
      <c r="E27" s="234"/>
      <c r="F27" s="153">
        <f>+F25-F26</f>
        <v>849525.10000000009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199" t="s">
        <v>80</v>
      </c>
      <c r="C28" s="200"/>
      <c r="D28" s="201"/>
      <c r="E28" s="49">
        <v>0</v>
      </c>
      <c r="F28" s="221"/>
      <c r="G28" s="22">
        <v>4161.1899999999996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344" t="s">
        <v>69</v>
      </c>
      <c r="C29" s="345"/>
      <c r="D29" s="346"/>
      <c r="E29" s="234">
        <f>47106.44+11216.05</f>
        <v>58322.490000000005</v>
      </c>
      <c r="F29" s="220"/>
      <c r="G29" s="22">
        <v>974.9</v>
      </c>
      <c r="H29" s="62" t="s">
        <v>26</v>
      </c>
      <c r="I29" s="63"/>
      <c r="J29" s="64" t="s">
        <v>27</v>
      </c>
      <c r="K29" s="65" t="s">
        <v>28</v>
      </c>
    </row>
    <row r="30" spans="2:18" ht="15" thickBot="1">
      <c r="B30" s="363" t="s">
        <v>29</v>
      </c>
      <c r="C30" s="364"/>
      <c r="D30" s="365"/>
      <c r="E30" s="66">
        <v>181000</v>
      </c>
      <c r="F30" s="220"/>
      <c r="G30" s="67">
        <v>1771.15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E31" s="79"/>
      <c r="F31" s="220"/>
      <c r="G31" s="71">
        <v>7242.96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79"/>
      <c r="F32" s="220"/>
      <c r="N32" s="269"/>
      <c r="P32" s="155"/>
      <c r="R32" s="155"/>
    </row>
    <row r="33" spans="2:18">
      <c r="E33" s="79"/>
      <c r="F33" s="220"/>
    </row>
    <row r="34" spans="2:18">
      <c r="E34" s="79"/>
      <c r="F34" s="220"/>
      <c r="H34" s="61"/>
      <c r="I34" s="61"/>
      <c r="J34" s="39"/>
      <c r="K34" s="61"/>
      <c r="L34" s="61"/>
      <c r="M34" s="61"/>
      <c r="N34" s="269"/>
      <c r="P34" s="155"/>
      <c r="R34" s="155"/>
    </row>
    <row r="35" spans="2:18">
      <c r="B35" s="61"/>
      <c r="C35" s="61"/>
      <c r="D35" s="61"/>
      <c r="E35" s="181" t="s">
        <v>354</v>
      </c>
      <c r="F35" s="220"/>
      <c r="H35" s="61"/>
      <c r="I35" s="61"/>
      <c r="J35" s="39"/>
      <c r="K35" s="61"/>
      <c r="L35" s="61"/>
      <c r="M35" s="61"/>
    </row>
    <row r="36" spans="2:18" s="61" customFormat="1" ht="15" customHeight="1">
      <c r="E36" s="181"/>
      <c r="F36" s="222"/>
      <c r="G36" s="8"/>
      <c r="H36" s="13"/>
      <c r="J36" s="13"/>
      <c r="K36" s="83"/>
      <c r="L36" s="88"/>
      <c r="N36" s="272"/>
      <c r="P36" s="273"/>
      <c r="R36" s="273"/>
    </row>
    <row r="37" spans="2:18" s="61" customFormat="1" ht="15" customHeight="1">
      <c r="E37" s="8" t="s">
        <v>34</v>
      </c>
      <c r="F37" s="222"/>
      <c r="G37" s="181"/>
      <c r="H37" s="161"/>
      <c r="I37" s="197"/>
      <c r="J37" s="13"/>
      <c r="K37" s="83"/>
      <c r="L37" s="161"/>
      <c r="M37" s="197"/>
    </row>
    <row r="38" spans="2:18" s="61" customFormat="1" ht="15" customHeight="1">
      <c r="E38" s="8" t="s">
        <v>35</v>
      </c>
      <c r="F38" s="222">
        <f>F17</f>
        <v>1094549.5900000001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2:18" s="61" customFormat="1" ht="15" customHeight="1">
      <c r="E39" s="8" t="s">
        <v>36</v>
      </c>
      <c r="F39" s="222">
        <f>+E17</f>
        <v>14150.2</v>
      </c>
      <c r="G39" s="86"/>
      <c r="I39" s="197"/>
      <c r="J39" s="13"/>
      <c r="K39" s="85"/>
      <c r="M39" s="197"/>
    </row>
    <row r="40" spans="2:18" s="61" customFormat="1" ht="15" customHeight="1">
      <c r="E40" s="8" t="s">
        <v>37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2:18" s="61" customFormat="1" ht="15" customHeight="1">
      <c r="E41" s="182" t="s">
        <v>38</v>
      </c>
      <c r="F41" s="222">
        <v>0</v>
      </c>
      <c r="G41" s="9"/>
      <c r="I41" s="197"/>
      <c r="J41" s="13"/>
      <c r="M41" s="197"/>
    </row>
    <row r="42" spans="2:18" s="61" customFormat="1" ht="15" customHeight="1">
      <c r="E42" s="183"/>
      <c r="F42" s="223">
        <f>SUM(F38:F41)</f>
        <v>1108699.79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183" t="s">
        <v>152</v>
      </c>
      <c r="F43" s="224"/>
      <c r="G43" s="9"/>
      <c r="H43" s="163"/>
      <c r="I43" s="229"/>
      <c r="J43" s="13"/>
      <c r="L43" s="163"/>
      <c r="M43" s="229"/>
    </row>
    <row r="44" spans="2:18" s="61" customFormat="1" ht="15" customHeight="1">
      <c r="E44" s="183" t="s">
        <v>355</v>
      </c>
      <c r="F44" s="224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2:18" s="61" customFormat="1" ht="15" customHeight="1">
      <c r="E45" s="183" t="s">
        <v>356</v>
      </c>
      <c r="F45" s="224">
        <v>1300000</v>
      </c>
      <c r="G45" s="9"/>
      <c r="H45" s="165"/>
      <c r="I45" s="230"/>
      <c r="J45" s="13"/>
    </row>
    <row r="46" spans="2:18" s="61" customFormat="1" ht="15" customHeight="1">
      <c r="E46" s="183" t="s">
        <v>64</v>
      </c>
      <c r="F46" s="224">
        <v>120000</v>
      </c>
      <c r="G46" s="9"/>
      <c r="H46" s="165"/>
      <c r="I46" s="230"/>
      <c r="J46" s="13"/>
    </row>
    <row r="47" spans="2:18" s="61" customFormat="1" ht="15" customHeight="1">
      <c r="E47" s="183" t="s">
        <v>69</v>
      </c>
      <c r="F47" s="224">
        <v>0</v>
      </c>
      <c r="G47" s="9"/>
      <c r="H47" s="165"/>
      <c r="I47" s="230"/>
      <c r="J47" s="13"/>
    </row>
    <row r="48" spans="2:18" s="61" customFormat="1" ht="15" customHeight="1">
      <c r="E48" s="116" t="s">
        <v>24</v>
      </c>
      <c r="F48" s="224">
        <v>60000</v>
      </c>
      <c r="G48" s="9"/>
      <c r="H48" s="165"/>
      <c r="I48" s="230"/>
      <c r="J48" s="13"/>
    </row>
    <row r="49" spans="2:13" s="61" customFormat="1" ht="15" customHeight="1">
      <c r="E49" s="116" t="s">
        <v>22</v>
      </c>
      <c r="F49" s="220">
        <v>0</v>
      </c>
      <c r="G49" s="9"/>
      <c r="H49" s="165"/>
      <c r="I49" s="230"/>
      <c r="J49" s="13"/>
    </row>
    <row r="50" spans="2:13" s="61" customFormat="1">
      <c r="E50" s="116" t="s">
        <v>40</v>
      </c>
      <c r="F50" s="220">
        <v>50000</v>
      </c>
      <c r="G50" s="8"/>
      <c r="H50" s="91"/>
      <c r="I50" s="231"/>
      <c r="J50" s="13"/>
    </row>
    <row r="51" spans="2:13" s="61" customFormat="1">
      <c r="E51" s="118" t="s">
        <v>41</v>
      </c>
      <c r="F51" s="226">
        <f>200000-90000-60000</f>
        <v>50000</v>
      </c>
      <c r="G51" s="8"/>
      <c r="H51" s="96"/>
      <c r="I51" s="231"/>
      <c r="J51" s="262"/>
    </row>
    <row r="52" spans="2:13" s="61" customFormat="1">
      <c r="E52" s="118" t="s">
        <v>42</v>
      </c>
      <c r="F52" s="225">
        <f>SUM(F44:F51)</f>
        <v>1705000</v>
      </c>
      <c r="G52" s="82"/>
      <c r="H52" s="83"/>
      <c r="I52" s="228"/>
      <c r="J52" s="13"/>
    </row>
    <row r="53" spans="2:13" s="61" customFormat="1">
      <c r="E53" s="8"/>
      <c r="F53" s="225">
        <f>F42-F52</f>
        <v>-596300.21</v>
      </c>
      <c r="G53" s="82"/>
      <c r="H53" s="83"/>
      <c r="I53" s="233"/>
      <c r="J53" s="13"/>
      <c r="L53" s="91"/>
      <c r="M53" s="232"/>
    </row>
    <row r="54" spans="2:13" s="61" customFormat="1">
      <c r="E54" s="82" t="s">
        <v>43</v>
      </c>
      <c r="F54" s="154"/>
      <c r="G54" s="82"/>
      <c r="H54" s="83"/>
      <c r="I54" s="233"/>
      <c r="J54" s="13"/>
      <c r="L54" s="91"/>
      <c r="M54" s="232"/>
    </row>
    <row r="55" spans="2:13" s="61" customFormat="1">
      <c r="E55" s="82" t="s">
        <v>44</v>
      </c>
      <c r="F55" s="80">
        <f>43800+180000</f>
        <v>223800</v>
      </c>
      <c r="G55" s="82"/>
      <c r="H55" s="83"/>
      <c r="I55" s="233"/>
      <c r="J55" s="13"/>
      <c r="L55" s="96"/>
      <c r="M55" s="231"/>
    </row>
    <row r="56" spans="2:13" s="61" customFormat="1">
      <c r="E56" s="82" t="s">
        <v>45</v>
      </c>
      <c r="F56" s="80">
        <v>365000</v>
      </c>
      <c r="G56" s="82"/>
      <c r="H56" s="96"/>
      <c r="I56" s="228"/>
      <c r="J56" s="13"/>
      <c r="L56" s="96"/>
      <c r="M56" s="233"/>
    </row>
    <row r="57" spans="2:13" s="61" customFormat="1">
      <c r="E57" s="82" t="s">
        <v>205</v>
      </c>
      <c r="F57" s="117">
        <v>0</v>
      </c>
      <c r="G57" s="82"/>
      <c r="H57" s="83"/>
      <c r="I57" s="233"/>
      <c r="J57" s="13"/>
    </row>
    <row r="58" spans="2:13" s="61" customFormat="1">
      <c r="B58"/>
      <c r="C58"/>
      <c r="D58"/>
      <c r="E58" s="82" t="s">
        <v>206</v>
      </c>
      <c r="F58" s="117">
        <v>0</v>
      </c>
      <c r="G58"/>
      <c r="H58" s="96"/>
      <c r="I58" s="219"/>
      <c r="J58" s="13"/>
      <c r="L58" s="83"/>
      <c r="M58" s="228"/>
    </row>
    <row r="59" spans="2:13">
      <c r="E59" s="118" t="s">
        <v>46</v>
      </c>
      <c r="F59" s="117">
        <v>0</v>
      </c>
      <c r="H59" s="61"/>
      <c r="I59" s="61"/>
      <c r="J59" s="13"/>
      <c r="K59" s="61"/>
      <c r="L59" s="61"/>
      <c r="M59" s="61"/>
    </row>
    <row r="60" spans="2:13">
      <c r="E60" s="82"/>
      <c r="F60" s="120">
        <f>SUM(F55:F59)</f>
        <v>588800</v>
      </c>
      <c r="H60" s="61"/>
      <c r="I60" s="61"/>
      <c r="J60" s="13"/>
      <c r="K60" s="61"/>
      <c r="L60" s="61"/>
      <c r="M60" s="61"/>
    </row>
    <row r="61" spans="2:13">
      <c r="E61" s="118" t="s">
        <v>47</v>
      </c>
      <c r="F61" s="80"/>
    </row>
    <row r="62" spans="2:13">
      <c r="D62" s="247" t="s">
        <v>192</v>
      </c>
      <c r="E62" s="8"/>
      <c r="F62" s="120">
        <f>F53-F60</f>
        <v>-1185100.21</v>
      </c>
      <c r="G62" s="8"/>
    </row>
    <row r="63" spans="2:13">
      <c r="D63" s="247" t="s">
        <v>194</v>
      </c>
      <c r="E63" s="8"/>
      <c r="F63" s="220"/>
      <c r="G63" s="8"/>
    </row>
    <row r="64" spans="2:13">
      <c r="D64" s="8" t="s">
        <v>9</v>
      </c>
      <c r="E64" s="8"/>
      <c r="G64" s="8"/>
    </row>
    <row r="65" spans="1:7">
      <c r="D65" s="8" t="s">
        <v>195</v>
      </c>
      <c r="E65" s="8"/>
      <c r="G65" s="8"/>
    </row>
    <row r="66" spans="1:7">
      <c r="D66" s="8" t="s">
        <v>188</v>
      </c>
      <c r="E66" s="247"/>
      <c r="G66" s="124">
        <f>SUM(E72:F72)</f>
        <v>0</v>
      </c>
    </row>
    <row r="67" spans="1:7">
      <c r="D67" s="8"/>
      <c r="E67" s="247"/>
      <c r="F67" s="275"/>
      <c r="G67" s="8"/>
    </row>
    <row r="68" spans="1:7">
      <c r="E68" s="249"/>
      <c r="F68" s="286"/>
    </row>
    <row r="69" spans="1:7">
      <c r="E69" s="249"/>
      <c r="F69" s="246"/>
    </row>
    <row r="70" spans="1:7">
      <c r="E70" s="249"/>
      <c r="F70" s="287"/>
    </row>
    <row r="71" spans="1:7">
      <c r="E71" s="124"/>
      <c r="F71" s="287"/>
    </row>
    <row r="72" spans="1:7">
      <c r="E72" s="8"/>
      <c r="F72" s="287"/>
    </row>
    <row r="73" spans="1:7">
      <c r="E73" s="8"/>
    </row>
    <row r="74" spans="1:7">
      <c r="A74" s="268"/>
      <c r="E74" s="8"/>
    </row>
    <row r="75" spans="1:7">
      <c r="E75" s="8"/>
    </row>
    <row r="76" spans="1:7">
      <c r="B76" s="235"/>
      <c r="E76" s="8"/>
    </row>
    <row r="77" spans="1:7">
      <c r="E77" s="8"/>
    </row>
    <row r="78" spans="1:7">
      <c r="E78" s="293"/>
    </row>
    <row r="79" spans="1:7">
      <c r="C79" s="155"/>
      <c r="E79" s="8"/>
    </row>
    <row r="80" spans="1:7">
      <c r="A80" s="269"/>
      <c r="E80" s="293"/>
    </row>
    <row r="81" spans="1:5">
      <c r="C81" s="155"/>
      <c r="E81" s="8"/>
    </row>
    <row r="82" spans="1:5">
      <c r="A82" s="269"/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77"/>
    </row>
    <row r="111" spans="1:5">
      <c r="C111" s="155"/>
      <c r="E111" s="79"/>
    </row>
    <row r="112" spans="1:5">
      <c r="A112" s="269"/>
      <c r="E112" s="277"/>
    </row>
    <row r="113" spans="1:5">
      <c r="C113" s="155"/>
      <c r="E113" s="79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</row>
    <row r="124" spans="1:5">
      <c r="A124" s="269"/>
      <c r="E124" s="155"/>
    </row>
    <row r="125" spans="1:5">
      <c r="C125" s="155"/>
    </row>
    <row r="126" spans="1:5">
      <c r="A126" s="269"/>
      <c r="E126" s="155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D199" s="155"/>
    </row>
    <row r="200" spans="1:5">
      <c r="A200" s="269"/>
      <c r="E200" s="155"/>
    </row>
    <row r="201" spans="1:5">
      <c r="C201" s="155"/>
    </row>
    <row r="202" spans="1:5">
      <c r="A202" s="269"/>
      <c r="E202" s="155"/>
    </row>
    <row r="203" spans="1:5">
      <c r="C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3">
      <c r="C209" s="155"/>
    </row>
    <row r="210" spans="1:3">
      <c r="A210" s="269"/>
    </row>
  </sheetData>
  <mergeCells count="15">
    <mergeCell ref="B30:D30"/>
    <mergeCell ref="B17:D17"/>
    <mergeCell ref="B18:D18"/>
    <mergeCell ref="G21:H21"/>
    <mergeCell ref="G25:K25"/>
    <mergeCell ref="G27:H27"/>
    <mergeCell ref="B29:D29"/>
    <mergeCell ref="B15:D15"/>
    <mergeCell ref="G15:H15"/>
    <mergeCell ref="J15:K15"/>
    <mergeCell ref="E10:F10"/>
    <mergeCell ref="B12:D12"/>
    <mergeCell ref="B13:D13"/>
    <mergeCell ref="B14:D14"/>
    <mergeCell ref="G14:K14"/>
  </mergeCells>
  <pageMargins left="0.7" right="0.7" top="0.75" bottom="0.75" header="0.3" footer="0.3"/>
  <pageSetup orientation="portrait" verticalDpi="0" r:id="rId1"/>
  <ignoredErrors>
    <ignoredError sqref="E19" formulaRange="1"/>
  </ignoredErrors>
  <drawing r:id="rId2"/>
  <legacyDrawing r:id="rId3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72B51-61CB-4429-85A6-97093A50A246}">
  <dimension ref="A6:R210"/>
  <sheetViews>
    <sheetView showGridLines="0" topLeftCell="A15" workbookViewId="0">
      <selection activeCell="A15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7.5">
      <c r="A12" s="11"/>
      <c r="B12" s="334" t="s">
        <v>3</v>
      </c>
      <c r="C12" s="335"/>
      <c r="D12" s="336"/>
      <c r="E12" s="17">
        <f>SUM(E13:E15)</f>
        <v>983850.06</v>
      </c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337" t="s">
        <v>5</v>
      </c>
      <c r="C13" s="338"/>
      <c r="D13" s="339"/>
      <c r="E13" s="20">
        <f>J16+J17+J18+J19</f>
        <v>684447.07000000007</v>
      </c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49" t="s">
        <v>7</v>
      </c>
      <c r="C14" s="350"/>
      <c r="D14" s="351"/>
      <c r="E14" s="20">
        <f>G22+G23</f>
        <v>28486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52" t="s">
        <v>6</v>
      </c>
      <c r="C15" s="353"/>
      <c r="D15" s="354"/>
      <c r="E15" s="28">
        <f>G16+G17+G18</f>
        <v>270916.99</v>
      </c>
      <c r="F15" s="153">
        <f>E13+E14+E15</f>
        <v>983850.06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236" t="s">
        <v>187</v>
      </c>
      <c r="C16" s="237"/>
      <c r="D16" s="238"/>
      <c r="E16" s="28">
        <f>+J22</f>
        <v>11107</v>
      </c>
      <c r="F16" s="153">
        <v>90000</v>
      </c>
      <c r="G16" s="22">
        <v>44783.06</v>
      </c>
      <c r="H16" s="23" t="s">
        <v>8</v>
      </c>
      <c r="I16" s="24"/>
      <c r="J16" s="25">
        <v>25659.33</v>
      </c>
      <c r="K16" s="26" t="s">
        <v>9</v>
      </c>
      <c r="L16" s="13"/>
      <c r="N16" s="3"/>
    </row>
    <row r="17" spans="2:18">
      <c r="B17" s="379" t="s">
        <v>11</v>
      </c>
      <c r="C17" s="380"/>
      <c r="D17" s="381"/>
      <c r="E17" s="20">
        <f>G29+G31+G30+G28</f>
        <v>14151.669999999998</v>
      </c>
      <c r="F17" s="153">
        <f>+F15-F16</f>
        <v>893850.06</v>
      </c>
      <c r="G17" s="22">
        <v>192249.84</v>
      </c>
      <c r="H17" s="29" t="s">
        <v>10</v>
      </c>
      <c r="I17" s="30"/>
      <c r="J17" s="25">
        <v>43427.77</v>
      </c>
      <c r="K17" s="31" t="s">
        <v>10</v>
      </c>
      <c r="N17" s="3"/>
    </row>
    <row r="18" spans="2:18">
      <c r="B18" s="344" t="s">
        <v>13</v>
      </c>
      <c r="C18" s="345"/>
      <c r="D18" s="346"/>
      <c r="E18" s="20">
        <v>15596106.130000001</v>
      </c>
      <c r="F18" s="153"/>
      <c r="G18" s="22">
        <v>33884.089999999997</v>
      </c>
      <c r="H18" s="29" t="s">
        <v>12</v>
      </c>
      <c r="I18" s="30"/>
      <c r="J18" s="25">
        <v>389383.34</v>
      </c>
      <c r="K18" s="31" t="s">
        <v>12</v>
      </c>
      <c r="L18" s="152"/>
      <c r="N18" s="3"/>
    </row>
    <row r="19" spans="2:18">
      <c r="B19" s="187" t="s">
        <v>15</v>
      </c>
      <c r="C19" s="188"/>
      <c r="D19" s="189"/>
      <c r="E19" s="190">
        <f>SUM(E20:E23)</f>
        <v>1763.2</v>
      </c>
      <c r="F19" s="153"/>
      <c r="G19" s="33"/>
      <c r="H19" s="34"/>
      <c r="I19" s="30"/>
      <c r="J19" s="25">
        <v>225976.63</v>
      </c>
      <c r="K19" s="31" t="s">
        <v>14</v>
      </c>
      <c r="L19" s="294"/>
      <c r="M19" s="294"/>
      <c r="N19" s="268"/>
    </row>
    <row r="20" spans="2:18">
      <c r="B20" s="187"/>
      <c r="C20" s="188"/>
      <c r="D20" s="198" t="s">
        <v>377</v>
      </c>
      <c r="E20" s="190">
        <v>1763.2</v>
      </c>
      <c r="F20" s="153"/>
      <c r="G20" s="239"/>
      <c r="H20" s="240"/>
      <c r="I20" s="30"/>
      <c r="J20" s="25"/>
      <c r="K20" s="31"/>
      <c r="L20" s="294"/>
      <c r="M20" s="294"/>
    </row>
    <row r="21" spans="2:18">
      <c r="B21" s="187"/>
      <c r="C21" s="188"/>
      <c r="D21" s="198"/>
      <c r="E21" s="190"/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</row>
    <row r="22" spans="2:18">
      <c r="B22" s="187"/>
      <c r="C22" s="188"/>
      <c r="D22" s="198"/>
      <c r="E22" s="190"/>
      <c r="F22" s="153"/>
      <c r="G22" s="44">
        <v>17295.04</v>
      </c>
      <c r="H22" s="29" t="s">
        <v>10</v>
      </c>
      <c r="I22" s="30"/>
      <c r="J22" s="25">
        <v>11107</v>
      </c>
      <c r="K22" s="31" t="s">
        <v>188</v>
      </c>
      <c r="L22" s="294"/>
      <c r="M22" s="294"/>
      <c r="O22" s="235"/>
    </row>
    <row r="23" spans="2:18">
      <c r="B23" s="187"/>
      <c r="C23" s="188"/>
      <c r="D23" s="198"/>
      <c r="E23" s="190"/>
      <c r="F23" s="153"/>
      <c r="G23" s="44">
        <f>23190.96-12000</f>
        <v>11190.96</v>
      </c>
      <c r="H23" s="29" t="s">
        <v>18</v>
      </c>
      <c r="I23" s="30"/>
      <c r="J23" s="25"/>
      <c r="K23" s="31"/>
    </row>
    <row r="24" spans="2:18" ht="15" thickBot="1">
      <c r="B24" s="46" t="s">
        <v>17</v>
      </c>
      <c r="C24" s="47"/>
      <c r="D24" s="48"/>
      <c r="E24" s="234">
        <v>22246.69</v>
      </c>
      <c r="F24" s="220"/>
      <c r="G24" s="51"/>
      <c r="H24" s="34"/>
      <c r="I24" s="30"/>
      <c r="J24" s="210"/>
      <c r="K24" s="53"/>
      <c r="N24" s="290"/>
    </row>
    <row r="25" spans="2:18" ht="15" thickBot="1">
      <c r="B25" s="202" t="s">
        <v>58</v>
      </c>
      <c r="C25" s="203"/>
      <c r="D25" s="204"/>
      <c r="E25" s="234">
        <f>10237.2+20228.8+11926.4+22133.8+5433+22133.8+9242.6+4763.4</f>
        <v>106099</v>
      </c>
      <c r="F25" s="153">
        <f>+F17-E24</f>
        <v>871603.37000000011</v>
      </c>
      <c r="G25" s="331" t="s">
        <v>21</v>
      </c>
      <c r="H25" s="332"/>
      <c r="I25" s="332"/>
      <c r="J25" s="332"/>
      <c r="K25" s="333"/>
      <c r="N25" s="290"/>
      <c r="Q25" s="155"/>
      <c r="R25" s="155"/>
    </row>
    <row r="26" spans="2:18">
      <c r="B26" s="199" t="s">
        <v>22</v>
      </c>
      <c r="C26" s="200"/>
      <c r="D26" s="201"/>
      <c r="E26" s="234">
        <v>5467</v>
      </c>
      <c r="F26" s="288">
        <f>SUM(E24:E30)</f>
        <v>314812.69</v>
      </c>
      <c r="G26" s="54"/>
      <c r="H26" s="55"/>
      <c r="I26" s="56"/>
      <c r="J26" s="211"/>
      <c r="K26" s="58"/>
      <c r="N26" s="290"/>
      <c r="P26" s="155"/>
      <c r="R26" s="155"/>
    </row>
    <row r="27" spans="2:18">
      <c r="B27" s="199" t="s">
        <v>25</v>
      </c>
      <c r="C27" s="200"/>
      <c r="D27" s="201"/>
      <c r="E27" s="234"/>
      <c r="F27" s="153">
        <f>+F25-F26</f>
        <v>556790.68000000017</v>
      </c>
      <c r="G27" s="377" t="s">
        <v>5</v>
      </c>
      <c r="H27" s="378"/>
      <c r="I27" s="59"/>
      <c r="J27" s="60"/>
      <c r="K27" s="45"/>
      <c r="M27" s="291"/>
      <c r="N27" s="292"/>
    </row>
    <row r="28" spans="2:18">
      <c r="B28" s="199" t="s">
        <v>80</v>
      </c>
      <c r="C28" s="200"/>
      <c r="D28" s="201"/>
      <c r="E28" s="49">
        <v>0</v>
      </c>
      <c r="F28" s="221"/>
      <c r="G28" s="22">
        <v>4162.22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344" t="s">
        <v>69</v>
      </c>
      <c r="C29" s="345"/>
      <c r="D29" s="346"/>
      <c r="E29" s="234"/>
      <c r="F29" s="220"/>
      <c r="G29" s="22">
        <v>975</v>
      </c>
      <c r="H29" s="62" t="s">
        <v>26</v>
      </c>
      <c r="I29" s="63"/>
      <c r="J29" s="64" t="s">
        <v>27</v>
      </c>
      <c r="K29" s="65" t="s">
        <v>28</v>
      </c>
    </row>
    <row r="30" spans="2:18" ht="15" thickBot="1">
      <c r="B30" s="363" t="s">
        <v>29</v>
      </c>
      <c r="C30" s="364"/>
      <c r="D30" s="365"/>
      <c r="E30" s="66">
        <v>181000</v>
      </c>
      <c r="F30" s="220"/>
      <c r="G30" s="67">
        <v>1771.49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E31" s="79"/>
      <c r="F31" s="220"/>
      <c r="G31" s="71">
        <v>7242.96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79"/>
      <c r="F32" s="220"/>
      <c r="N32" s="269"/>
      <c r="P32" s="155"/>
      <c r="R32" s="155"/>
    </row>
    <row r="33" spans="2:18">
      <c r="E33" s="79"/>
      <c r="F33" s="220"/>
    </row>
    <row r="34" spans="2:18">
      <c r="E34" s="79"/>
      <c r="F34" s="220"/>
      <c r="H34" s="61"/>
      <c r="I34" s="61"/>
      <c r="J34" s="39"/>
      <c r="K34" s="61"/>
      <c r="L34" s="61"/>
      <c r="M34" s="61"/>
      <c r="N34" s="269"/>
      <c r="P34" s="155"/>
      <c r="R34" s="155"/>
    </row>
    <row r="35" spans="2:18">
      <c r="B35" s="61"/>
      <c r="C35" s="61"/>
      <c r="D35" s="61"/>
      <c r="E35" s="181" t="s">
        <v>354</v>
      </c>
      <c r="F35" s="220"/>
      <c r="H35" s="61"/>
      <c r="I35" s="61"/>
      <c r="J35" s="39"/>
      <c r="K35" s="61"/>
      <c r="L35" s="61"/>
      <c r="M35" s="61"/>
    </row>
    <row r="36" spans="2:18" s="61" customFormat="1" ht="15" customHeight="1">
      <c r="E36" s="181"/>
      <c r="F36" s="222"/>
      <c r="G36" s="8"/>
      <c r="H36" s="13"/>
      <c r="J36" s="13"/>
      <c r="K36" s="83"/>
      <c r="L36" s="88"/>
      <c r="N36" s="272"/>
      <c r="P36" s="273"/>
      <c r="R36" s="273"/>
    </row>
    <row r="37" spans="2:18" s="61" customFormat="1" ht="15" customHeight="1">
      <c r="E37" s="8" t="s">
        <v>34</v>
      </c>
      <c r="F37" s="222"/>
      <c r="G37" s="181"/>
      <c r="H37" s="161"/>
      <c r="I37" s="197"/>
      <c r="J37" s="13"/>
      <c r="K37" s="83"/>
      <c r="L37" s="161"/>
      <c r="M37" s="197"/>
    </row>
    <row r="38" spans="2:18" s="61" customFormat="1" ht="15" customHeight="1">
      <c r="E38" s="8" t="s">
        <v>35</v>
      </c>
      <c r="F38" s="222">
        <f>F17</f>
        <v>893850.06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2:18" s="61" customFormat="1" ht="15" customHeight="1">
      <c r="E39" s="8" t="s">
        <v>36</v>
      </c>
      <c r="F39" s="222">
        <f>+E17</f>
        <v>14151.669999999998</v>
      </c>
      <c r="G39" s="86"/>
      <c r="I39" s="197"/>
      <c r="J39" s="13"/>
      <c r="K39" s="85"/>
      <c r="M39" s="197"/>
    </row>
    <row r="40" spans="2:18" s="61" customFormat="1" ht="15" customHeight="1">
      <c r="E40" s="8" t="s">
        <v>37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2:18" s="61" customFormat="1" ht="15" customHeight="1">
      <c r="E41" s="182" t="s">
        <v>38</v>
      </c>
      <c r="F41" s="222">
        <v>0</v>
      </c>
      <c r="G41" s="9"/>
      <c r="I41" s="197"/>
      <c r="J41" s="13"/>
      <c r="M41" s="197"/>
    </row>
    <row r="42" spans="2:18" s="61" customFormat="1" ht="15" customHeight="1">
      <c r="E42" s="183"/>
      <c r="F42" s="223">
        <f>SUM(F38:F41)</f>
        <v>908001.7300000001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183" t="s">
        <v>152</v>
      </c>
      <c r="F43" s="224"/>
      <c r="G43" s="9"/>
      <c r="H43" s="163"/>
      <c r="I43" s="229"/>
      <c r="J43" s="13"/>
      <c r="L43" s="163"/>
      <c r="M43" s="229"/>
    </row>
    <row r="44" spans="2:18" s="61" customFormat="1" ht="15" customHeight="1">
      <c r="E44" s="183" t="s">
        <v>355</v>
      </c>
      <c r="F44" s="224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2:18" s="61" customFormat="1" ht="15" customHeight="1">
      <c r="E45" s="183" t="s">
        <v>356</v>
      </c>
      <c r="F45" s="224">
        <v>1300000</v>
      </c>
      <c r="G45" s="9"/>
      <c r="H45" s="165"/>
      <c r="I45" s="230"/>
      <c r="J45" s="13"/>
    </row>
    <row r="46" spans="2:18" s="61" customFormat="1" ht="15" customHeight="1">
      <c r="E46" s="183" t="s">
        <v>64</v>
      </c>
      <c r="F46" s="224">
        <v>120000</v>
      </c>
      <c r="G46" s="9"/>
      <c r="H46" s="165"/>
      <c r="I46" s="230"/>
      <c r="J46" s="13"/>
    </row>
    <row r="47" spans="2:18" s="61" customFormat="1" ht="15" customHeight="1">
      <c r="E47" s="183" t="s">
        <v>69</v>
      </c>
      <c r="F47" s="224">
        <v>0</v>
      </c>
      <c r="G47" s="9"/>
      <c r="H47" s="165"/>
      <c r="I47" s="230"/>
      <c r="J47" s="13"/>
    </row>
    <row r="48" spans="2:18" s="61" customFormat="1" ht="15" customHeight="1">
      <c r="E48" s="116" t="s">
        <v>24</v>
      </c>
      <c r="F48" s="224">
        <v>60000</v>
      </c>
      <c r="G48" s="9"/>
      <c r="H48" s="165"/>
      <c r="I48" s="230"/>
      <c r="J48" s="13"/>
    </row>
    <row r="49" spans="2:13" s="61" customFormat="1" ht="15" customHeight="1">
      <c r="E49" s="116" t="s">
        <v>22</v>
      </c>
      <c r="F49" s="220">
        <v>0</v>
      </c>
      <c r="G49" s="9"/>
      <c r="H49" s="165"/>
      <c r="I49" s="230"/>
      <c r="J49" s="13"/>
    </row>
    <row r="50" spans="2:13" s="61" customFormat="1">
      <c r="E50" s="116" t="s">
        <v>40</v>
      </c>
      <c r="F50" s="220">
        <v>50000</v>
      </c>
      <c r="G50" s="8"/>
      <c r="H50" s="91"/>
      <c r="I50" s="231"/>
      <c r="J50" s="13"/>
    </row>
    <row r="51" spans="2:13" s="61" customFormat="1">
      <c r="E51" s="118" t="s">
        <v>41</v>
      </c>
      <c r="F51" s="226">
        <f>200000-90000-60000</f>
        <v>50000</v>
      </c>
      <c r="G51" s="8"/>
      <c r="H51" s="96"/>
      <c r="I51" s="231"/>
      <c r="J51" s="262"/>
    </row>
    <row r="52" spans="2:13" s="61" customFormat="1">
      <c r="E52" s="118" t="s">
        <v>42</v>
      </c>
      <c r="F52" s="225">
        <f>SUM(F44:F51)</f>
        <v>1705000</v>
      </c>
      <c r="G52" s="82"/>
      <c r="H52" s="83"/>
      <c r="I52" s="228"/>
      <c r="J52" s="13"/>
    </row>
    <row r="53" spans="2:13" s="61" customFormat="1">
      <c r="E53" s="8"/>
      <c r="F53" s="225">
        <f>F42-F52</f>
        <v>-796998.2699999999</v>
      </c>
      <c r="G53" s="82"/>
      <c r="H53" s="83"/>
      <c r="I53" s="233"/>
      <c r="J53" s="13"/>
      <c r="L53" s="91"/>
      <c r="M53" s="232"/>
    </row>
    <row r="54" spans="2:13" s="61" customFormat="1">
      <c r="E54" s="82" t="s">
        <v>43</v>
      </c>
      <c r="F54" s="154"/>
      <c r="G54" s="82"/>
      <c r="H54" s="83"/>
      <c r="I54" s="233"/>
      <c r="J54" s="13"/>
      <c r="L54" s="91"/>
      <c r="M54" s="232"/>
    </row>
    <row r="55" spans="2:13" s="61" customFormat="1">
      <c r="E55" s="82" t="s">
        <v>44</v>
      </c>
      <c r="F55" s="80">
        <f>43800+180000</f>
        <v>223800</v>
      </c>
      <c r="G55" s="82"/>
      <c r="H55" s="83"/>
      <c r="I55" s="233"/>
      <c r="J55" s="13"/>
      <c r="L55" s="96"/>
      <c r="M55" s="231"/>
    </row>
    <row r="56" spans="2:13" s="61" customFormat="1">
      <c r="E56" s="82" t="s">
        <v>45</v>
      </c>
      <c r="F56" s="80">
        <v>365000</v>
      </c>
      <c r="G56" s="82"/>
      <c r="H56" s="96"/>
      <c r="I56" s="228"/>
      <c r="J56" s="13"/>
      <c r="L56" s="96"/>
      <c r="M56" s="233"/>
    </row>
    <row r="57" spans="2:13" s="61" customFormat="1">
      <c r="E57" s="82" t="s">
        <v>205</v>
      </c>
      <c r="F57" s="117">
        <v>0</v>
      </c>
      <c r="G57" s="82"/>
      <c r="H57" s="83"/>
      <c r="I57" s="233"/>
      <c r="J57" s="13"/>
    </row>
    <row r="58" spans="2:13" s="61" customFormat="1">
      <c r="B58"/>
      <c r="C58"/>
      <c r="D58"/>
      <c r="E58" s="82" t="s">
        <v>206</v>
      </c>
      <c r="F58" s="117">
        <v>0</v>
      </c>
      <c r="G58"/>
      <c r="H58" s="96"/>
      <c r="I58" s="219"/>
      <c r="J58" s="13"/>
      <c r="L58" s="83"/>
      <c r="M58" s="228"/>
    </row>
    <row r="59" spans="2:13">
      <c r="E59" s="118" t="s">
        <v>46</v>
      </c>
      <c r="F59" s="117">
        <v>0</v>
      </c>
      <c r="H59" s="61"/>
      <c r="I59" s="61"/>
      <c r="J59" s="13"/>
      <c r="K59" s="61"/>
      <c r="L59" s="61"/>
      <c r="M59" s="61"/>
    </row>
    <row r="60" spans="2:13">
      <c r="E60" s="82"/>
      <c r="F60" s="120">
        <f>SUM(F55:F59)</f>
        <v>588800</v>
      </c>
      <c r="H60" s="61"/>
      <c r="I60" s="61"/>
      <c r="J60" s="13"/>
      <c r="K60" s="61"/>
      <c r="L60" s="61"/>
      <c r="M60" s="61"/>
    </row>
    <row r="61" spans="2:13">
      <c r="E61" s="118" t="s">
        <v>47</v>
      </c>
      <c r="F61" s="80"/>
    </row>
    <row r="62" spans="2:13">
      <c r="D62" s="247" t="s">
        <v>192</v>
      </c>
      <c r="E62" s="8"/>
      <c r="F62" s="120">
        <f>F53-F60</f>
        <v>-1385798.27</v>
      </c>
      <c r="G62" s="8"/>
    </row>
    <row r="63" spans="2:13">
      <c r="D63" s="247" t="s">
        <v>194</v>
      </c>
      <c r="E63" s="8"/>
      <c r="F63" s="220"/>
      <c r="G63" s="8"/>
    </row>
    <row r="64" spans="2:13">
      <c r="D64" s="8" t="s">
        <v>9</v>
      </c>
      <c r="E64" s="8"/>
      <c r="G64" s="8"/>
    </row>
    <row r="65" spans="1:7">
      <c r="D65" s="8" t="s">
        <v>195</v>
      </c>
      <c r="E65" s="8"/>
      <c r="G65" s="8"/>
    </row>
    <row r="66" spans="1:7">
      <c r="D66" s="8" t="s">
        <v>188</v>
      </c>
      <c r="E66" s="247"/>
      <c r="G66" s="124">
        <f>SUM(E72:F72)</f>
        <v>0</v>
      </c>
    </row>
    <row r="67" spans="1:7">
      <c r="D67" s="8"/>
      <c r="E67" s="247"/>
      <c r="F67" s="275"/>
      <c r="G67" s="8"/>
    </row>
    <row r="68" spans="1:7">
      <c r="E68" s="249"/>
      <c r="F68" s="286"/>
    </row>
    <row r="69" spans="1:7">
      <c r="E69" s="249"/>
      <c r="F69" s="246"/>
    </row>
    <row r="70" spans="1:7">
      <c r="E70" s="249"/>
      <c r="F70" s="287"/>
    </row>
    <row r="71" spans="1:7">
      <c r="E71" s="124"/>
      <c r="F71" s="287"/>
    </row>
    <row r="72" spans="1:7">
      <c r="E72" s="8"/>
      <c r="F72" s="287"/>
    </row>
    <row r="73" spans="1:7">
      <c r="E73" s="8"/>
    </row>
    <row r="74" spans="1:7">
      <c r="A74" s="268"/>
      <c r="E74" s="8"/>
    </row>
    <row r="75" spans="1:7">
      <c r="E75" s="8"/>
    </row>
    <row r="76" spans="1:7">
      <c r="B76" s="235"/>
      <c r="E76" s="8"/>
    </row>
    <row r="77" spans="1:7">
      <c r="E77" s="8"/>
    </row>
    <row r="78" spans="1:7">
      <c r="E78" s="293"/>
    </row>
    <row r="79" spans="1:7">
      <c r="C79" s="155"/>
      <c r="E79" s="8"/>
    </row>
    <row r="80" spans="1:7">
      <c r="A80" s="269"/>
      <c r="E80" s="293"/>
    </row>
    <row r="81" spans="1:5">
      <c r="C81" s="155"/>
      <c r="E81" s="8"/>
    </row>
    <row r="82" spans="1:5">
      <c r="A82" s="269"/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77"/>
    </row>
    <row r="111" spans="1:5">
      <c r="C111" s="155"/>
      <c r="E111" s="79"/>
    </row>
    <row r="112" spans="1:5">
      <c r="A112" s="269"/>
      <c r="E112" s="277"/>
    </row>
    <row r="113" spans="1:5">
      <c r="C113" s="155"/>
      <c r="E113" s="79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</row>
    <row r="124" spans="1:5">
      <c r="A124" s="269"/>
      <c r="E124" s="155"/>
    </row>
    <row r="125" spans="1:5">
      <c r="C125" s="155"/>
    </row>
    <row r="126" spans="1:5">
      <c r="A126" s="269"/>
      <c r="E126" s="155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D199" s="155"/>
    </row>
    <row r="200" spans="1:5">
      <c r="A200" s="269"/>
      <c r="E200" s="155"/>
    </row>
    <row r="201" spans="1:5">
      <c r="C201" s="155"/>
    </row>
    <row r="202" spans="1:5">
      <c r="A202" s="269"/>
      <c r="E202" s="155"/>
    </row>
    <row r="203" spans="1:5">
      <c r="C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3">
      <c r="C209" s="155"/>
    </row>
    <row r="210" spans="1:3">
      <c r="A210" s="269"/>
    </row>
  </sheetData>
  <mergeCells count="15">
    <mergeCell ref="B15:D15"/>
    <mergeCell ref="G15:H15"/>
    <mergeCell ref="J15:K15"/>
    <mergeCell ref="E10:F10"/>
    <mergeCell ref="B12:D12"/>
    <mergeCell ref="B13:D13"/>
    <mergeCell ref="B14:D14"/>
    <mergeCell ref="G14:K14"/>
    <mergeCell ref="B30:D30"/>
    <mergeCell ref="B17:D17"/>
    <mergeCell ref="B18:D18"/>
    <mergeCell ref="G21:H21"/>
    <mergeCell ref="G25:K25"/>
    <mergeCell ref="G27:H27"/>
    <mergeCell ref="B29:D29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14F28-5207-47A4-B089-68B1F2D95346}">
  <dimension ref="A6:R211"/>
  <sheetViews>
    <sheetView showGridLines="0" topLeftCell="A3" workbookViewId="0">
      <selection activeCell="A3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</row>
    <row r="12" spans="1:12" ht="19" thickBot="1">
      <c r="A12" s="1"/>
      <c r="B12" s="331" t="s">
        <v>2</v>
      </c>
      <c r="C12" s="332"/>
      <c r="D12" s="332"/>
      <c r="E12" s="333"/>
      <c r="F12" s="295"/>
      <c r="G12" s="296"/>
      <c r="H12" s="1"/>
      <c r="I12" s="1"/>
      <c r="J12" s="76"/>
      <c r="K12" s="1"/>
    </row>
    <row r="13" spans="1:12" ht="18" thickBot="1">
      <c r="A13" s="1"/>
      <c r="B13" s="1"/>
      <c r="C13" s="1"/>
      <c r="D13" s="1"/>
      <c r="E13" s="1"/>
      <c r="F13" s="215"/>
      <c r="G13" s="11"/>
      <c r="H13" s="11"/>
      <c r="I13" s="11"/>
      <c r="J13" s="15"/>
      <c r="K13" s="16"/>
    </row>
    <row r="14" spans="1:12" ht="18" thickBot="1">
      <c r="A14" s="11"/>
      <c r="B14" s="334" t="s">
        <v>3</v>
      </c>
      <c r="C14" s="335"/>
      <c r="D14" s="336"/>
      <c r="E14" s="17">
        <f>SUM(E15:E17)</f>
        <v>683195.61</v>
      </c>
      <c r="F14" s="264"/>
      <c r="G14" s="331" t="s">
        <v>4</v>
      </c>
      <c r="H14" s="332"/>
      <c r="I14" s="332"/>
      <c r="J14" s="332"/>
      <c r="K14" s="333"/>
      <c r="L14" s="13"/>
    </row>
    <row r="15" spans="1:12">
      <c r="A15" s="1"/>
      <c r="B15" s="337" t="s">
        <v>5</v>
      </c>
      <c r="C15" s="338"/>
      <c r="D15" s="339"/>
      <c r="E15" s="20">
        <f>J16+J17+J18+J19</f>
        <v>593417.69000000006</v>
      </c>
      <c r="F15" s="153"/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15270.199999999999</v>
      </c>
      <c r="F16" s="153"/>
      <c r="G16" s="22">
        <v>44783.06</v>
      </c>
      <c r="H16" s="23" t="s">
        <v>8</v>
      </c>
      <c r="I16" s="24"/>
      <c r="J16" s="25">
        <v>3525.53</v>
      </c>
      <c r="K16" s="26" t="s">
        <v>9</v>
      </c>
      <c r="L16" s="19"/>
    </row>
    <row r="17" spans="1:18">
      <c r="A17" s="1"/>
      <c r="B17" s="352" t="s">
        <v>6</v>
      </c>
      <c r="C17" s="353"/>
      <c r="D17" s="354"/>
      <c r="E17" s="28">
        <f>G16+G17+G18</f>
        <v>74507.72</v>
      </c>
      <c r="F17" s="153">
        <f>E15+E16+E17</f>
        <v>683195.61</v>
      </c>
      <c r="G17" s="22">
        <v>22882.66</v>
      </c>
      <c r="H17" s="29" t="s">
        <v>10</v>
      </c>
      <c r="I17" s="30"/>
      <c r="J17" s="25">
        <v>1699.97</v>
      </c>
      <c r="K17" s="31" t="s">
        <v>10</v>
      </c>
      <c r="L17" s="13"/>
    </row>
    <row r="18" spans="1:18">
      <c r="A18" s="1"/>
      <c r="B18" s="236" t="s">
        <v>187</v>
      </c>
      <c r="C18" s="237"/>
      <c r="D18" s="238"/>
      <c r="E18" s="28">
        <f>+J22</f>
        <v>11049</v>
      </c>
      <c r="F18" s="153">
        <v>90000</v>
      </c>
      <c r="G18" s="22">
        <v>6842</v>
      </c>
      <c r="H18" s="29" t="s">
        <v>12</v>
      </c>
      <c r="I18" s="30"/>
      <c r="J18" s="25">
        <v>368214.34</v>
      </c>
      <c r="K18" s="31" t="s">
        <v>12</v>
      </c>
      <c r="L18" s="13"/>
      <c r="N18" s="3"/>
    </row>
    <row r="19" spans="1:18">
      <c r="B19" s="379" t="s">
        <v>11</v>
      </c>
      <c r="C19" s="380"/>
      <c r="D19" s="381"/>
      <c r="E19" s="20">
        <f>G29+G31+G30+G28</f>
        <v>14164.09</v>
      </c>
      <c r="F19" s="153">
        <f>+F17-F18</f>
        <v>593195.61</v>
      </c>
      <c r="G19" s="33"/>
      <c r="H19" s="34"/>
      <c r="I19" s="30"/>
      <c r="J19" s="25">
        <v>219977.85</v>
      </c>
      <c r="K19" s="31" t="s">
        <v>14</v>
      </c>
      <c r="N19" s="3"/>
    </row>
    <row r="20" spans="1:18">
      <c r="B20" s="344" t="s">
        <v>13</v>
      </c>
      <c r="C20" s="345"/>
      <c r="D20" s="346"/>
      <c r="E20" s="20">
        <v>18936305.890000001</v>
      </c>
      <c r="F20" s="153"/>
      <c r="G20" s="239"/>
      <c r="H20" s="240"/>
      <c r="I20" s="30"/>
      <c r="J20" s="25"/>
      <c r="K20" s="31"/>
      <c r="L20" s="152"/>
      <c r="N20" s="3"/>
    </row>
    <row r="21" spans="1:18">
      <c r="B21" s="187" t="s">
        <v>15</v>
      </c>
      <c r="C21" s="188"/>
      <c r="D21" s="189"/>
      <c r="E21" s="190">
        <f>SUM(E22:E24)</f>
        <v>0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  <c r="N21" s="268"/>
    </row>
    <row r="22" spans="1:18">
      <c r="B22" s="187"/>
      <c r="C22" s="188"/>
      <c r="D22" s="198"/>
      <c r="E22" s="190">
        <v>0</v>
      </c>
      <c r="F22" s="153"/>
      <c r="G22" s="44">
        <v>4949.24</v>
      </c>
      <c r="H22" s="29" t="s">
        <v>10</v>
      </c>
      <c r="I22" s="30"/>
      <c r="J22" s="25">
        <v>11049</v>
      </c>
      <c r="K22" s="31" t="s">
        <v>188</v>
      </c>
      <c r="L22" s="294"/>
      <c r="M22" s="294"/>
    </row>
    <row r="23" spans="1:18">
      <c r="B23" s="187"/>
      <c r="C23" s="188"/>
      <c r="D23" s="198"/>
      <c r="E23" s="190">
        <v>0</v>
      </c>
      <c r="F23" s="153"/>
      <c r="G23" s="44">
        <v>10320.959999999999</v>
      </c>
      <c r="H23" s="29" t="s">
        <v>18</v>
      </c>
      <c r="I23" s="30"/>
      <c r="J23" s="25"/>
      <c r="K23" s="31"/>
      <c r="L23" s="294"/>
      <c r="M23" s="294"/>
    </row>
    <row r="24" spans="1:18" ht="15" thickBot="1">
      <c r="B24" s="187"/>
      <c r="C24" s="188"/>
      <c r="D24" s="198"/>
      <c r="E24" s="190">
        <v>0</v>
      </c>
      <c r="F24" s="153"/>
      <c r="G24" s="51"/>
      <c r="H24" s="34"/>
      <c r="I24" s="30"/>
      <c r="J24" s="210"/>
      <c r="K24" s="53"/>
      <c r="L24" s="294"/>
      <c r="M24" s="294"/>
      <c r="O24" s="235"/>
    </row>
    <row r="25" spans="1:18" ht="15" thickBot="1">
      <c r="B25" s="202" t="s">
        <v>17</v>
      </c>
      <c r="C25" s="203"/>
      <c r="D25" s="204"/>
      <c r="E25" s="234">
        <v>30000</v>
      </c>
      <c r="F25" s="220"/>
      <c r="G25" s="331" t="s">
        <v>21</v>
      </c>
      <c r="H25" s="332"/>
      <c r="I25" s="332"/>
      <c r="J25" s="332"/>
      <c r="K25" s="333"/>
    </row>
    <row r="26" spans="1:18">
      <c r="B26" s="202" t="s">
        <v>116</v>
      </c>
      <c r="C26" s="203"/>
      <c r="D26" s="204"/>
      <c r="E26" s="234">
        <v>28000</v>
      </c>
      <c r="F26" s="153">
        <f>+F19-E25</f>
        <v>563195.61</v>
      </c>
      <c r="G26" s="54"/>
      <c r="H26" s="55"/>
      <c r="I26" s="56"/>
      <c r="J26" s="211"/>
      <c r="K26" s="58"/>
      <c r="N26" s="290"/>
    </row>
    <row r="27" spans="1:18">
      <c r="B27" s="199" t="s">
        <v>22</v>
      </c>
      <c r="C27" s="200"/>
      <c r="D27" s="201"/>
      <c r="E27" s="234">
        <v>0</v>
      </c>
      <c r="F27" s="288">
        <f>SUM(E25:E31)</f>
        <v>58000</v>
      </c>
      <c r="G27" s="377" t="s">
        <v>5</v>
      </c>
      <c r="H27" s="378"/>
      <c r="I27" s="59"/>
      <c r="J27" s="60"/>
      <c r="K27" s="45"/>
      <c r="N27" s="290"/>
      <c r="Q27" s="155"/>
      <c r="R27" s="155"/>
    </row>
    <row r="28" spans="1:18">
      <c r="B28" s="199" t="s">
        <v>25</v>
      </c>
      <c r="C28" s="200"/>
      <c r="D28" s="201"/>
      <c r="E28" s="234">
        <v>0</v>
      </c>
      <c r="F28" s="153">
        <f>+F26-F27</f>
        <v>505195.61</v>
      </c>
      <c r="G28" s="22">
        <v>4165.55</v>
      </c>
      <c r="H28" s="62" t="s">
        <v>9</v>
      </c>
      <c r="I28" s="59"/>
      <c r="J28" s="60"/>
      <c r="K28" s="45"/>
      <c r="N28" s="290"/>
      <c r="P28" s="155"/>
      <c r="R28" s="155"/>
    </row>
    <row r="29" spans="1:18">
      <c r="B29" s="199" t="s">
        <v>80</v>
      </c>
      <c r="C29" s="200"/>
      <c r="D29" s="201"/>
      <c r="E29" s="49">
        <v>0</v>
      </c>
      <c r="F29" s="221"/>
      <c r="G29" s="22">
        <v>975.3</v>
      </c>
      <c r="H29" s="62" t="s">
        <v>26</v>
      </c>
      <c r="I29" s="63"/>
      <c r="J29" s="64" t="s">
        <v>27</v>
      </c>
      <c r="K29" s="65" t="s">
        <v>28</v>
      </c>
      <c r="M29" s="291"/>
      <c r="N29" s="292"/>
    </row>
    <row r="30" spans="1:18">
      <c r="B30" s="344" t="s">
        <v>69</v>
      </c>
      <c r="C30" s="345"/>
      <c r="D30" s="346"/>
      <c r="E30" s="234">
        <v>0</v>
      </c>
      <c r="F30" s="220"/>
      <c r="G30" s="67">
        <v>1772.55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1:18" ht="15" thickBot="1">
      <c r="B31" s="363" t="s">
        <v>29</v>
      </c>
      <c r="C31" s="364"/>
      <c r="D31" s="365"/>
      <c r="E31" s="66">
        <v>0</v>
      </c>
      <c r="F31" s="220"/>
      <c r="G31" s="71">
        <v>7250.69</v>
      </c>
      <c r="H31" s="72" t="s">
        <v>12</v>
      </c>
      <c r="I31" s="73"/>
      <c r="J31" s="74" t="s">
        <v>32</v>
      </c>
      <c r="K31" s="75" t="s">
        <v>33</v>
      </c>
    </row>
    <row r="32" spans="1:18">
      <c r="E32" s="79"/>
      <c r="F32" s="220"/>
      <c r="N32" s="269"/>
      <c r="P32" s="155"/>
      <c r="R32" s="155"/>
    </row>
    <row r="33" spans="1:18">
      <c r="E33" s="79"/>
      <c r="F33" s="220"/>
    </row>
    <row r="34" spans="1:18">
      <c r="E34" s="79"/>
      <c r="F34" s="220"/>
      <c r="H34" s="61"/>
      <c r="I34" s="61"/>
      <c r="J34" s="39"/>
      <c r="K34" s="61"/>
      <c r="N34" s="269"/>
      <c r="P34" s="155"/>
      <c r="R34" s="155"/>
    </row>
    <row r="35" spans="1:18">
      <c r="E35" s="61"/>
      <c r="F35" s="219"/>
      <c r="H35" s="61"/>
      <c r="I35" s="61"/>
      <c r="J35" s="39"/>
      <c r="K35" s="61"/>
    </row>
    <row r="36" spans="1:18">
      <c r="B36" s="61"/>
      <c r="C36" s="61"/>
      <c r="D36" s="61"/>
      <c r="E36" s="161" t="s">
        <v>381</v>
      </c>
      <c r="F36" s="197"/>
      <c r="G36" s="61"/>
      <c r="H36" s="13"/>
      <c r="I36" s="61"/>
      <c r="J36" s="13"/>
      <c r="K36" s="83"/>
      <c r="L36" s="61"/>
      <c r="M36" s="61"/>
      <c r="N36" s="269"/>
      <c r="P36" s="155"/>
      <c r="R36" s="155"/>
    </row>
    <row r="37" spans="1:18">
      <c r="A37" s="61"/>
      <c r="B37" s="61"/>
      <c r="C37" s="61"/>
      <c r="D37" s="61"/>
      <c r="E37" s="161"/>
      <c r="F37" s="197"/>
      <c r="G37" s="161"/>
      <c r="H37" s="161"/>
      <c r="I37" s="197"/>
      <c r="J37" s="13"/>
      <c r="K37" s="83"/>
      <c r="L37" s="61"/>
      <c r="M37" s="61"/>
    </row>
    <row r="38" spans="1:18" s="61" customFormat="1" ht="15" customHeight="1">
      <c r="E38" s="61" t="s">
        <v>34</v>
      </c>
      <c r="F38" s="197">
        <f>F19</f>
        <v>593195.61</v>
      </c>
      <c r="G38" s="88"/>
      <c r="H38" s="161"/>
      <c r="I38" s="197"/>
      <c r="J38" s="13"/>
      <c r="K38" s="83"/>
      <c r="L38" s="88"/>
      <c r="N38" s="272"/>
      <c r="P38" s="273"/>
      <c r="R38" s="273"/>
    </row>
    <row r="39" spans="1:18" s="61" customFormat="1" ht="15" customHeight="1">
      <c r="E39" s="61" t="s">
        <v>35</v>
      </c>
      <c r="F39" s="197">
        <f>+E19</f>
        <v>14164.09</v>
      </c>
      <c r="G39" s="88"/>
      <c r="I39" s="197"/>
      <c r="J39" s="13"/>
      <c r="K39" s="85"/>
      <c r="L39" s="161"/>
      <c r="M39" s="197"/>
    </row>
    <row r="40" spans="1:18" s="61" customFormat="1" ht="15" customHeight="1">
      <c r="E40" s="61" t="s">
        <v>36</v>
      </c>
      <c r="F40" s="197">
        <v>0</v>
      </c>
      <c r="G40" s="88"/>
      <c r="I40" s="214"/>
      <c r="J40" s="13"/>
      <c r="K40" s="87"/>
      <c r="L40" s="161"/>
      <c r="M40" s="197"/>
      <c r="N40" s="272"/>
      <c r="P40" s="273"/>
      <c r="R40" s="273"/>
    </row>
    <row r="41" spans="1:18" s="61" customFormat="1" ht="15" customHeight="1">
      <c r="E41" s="61" t="s">
        <v>37</v>
      </c>
      <c r="F41" s="197">
        <v>0</v>
      </c>
      <c r="G41" s="13">
        <v>500000</v>
      </c>
      <c r="I41" s="197"/>
      <c r="J41" s="13"/>
      <c r="M41" s="197"/>
    </row>
    <row r="42" spans="1:18" s="61" customFormat="1" ht="15" customHeight="1">
      <c r="E42" s="163" t="s">
        <v>38</v>
      </c>
      <c r="F42" s="229">
        <f>SUM(F38:F41)</f>
        <v>607359.69999999995</v>
      </c>
      <c r="G42" s="13"/>
      <c r="I42" s="197"/>
      <c r="J42" s="13"/>
      <c r="M42" s="197"/>
      <c r="N42" s="272"/>
      <c r="P42" s="273"/>
      <c r="R42" s="273"/>
    </row>
    <row r="43" spans="1:18" s="61" customFormat="1" ht="15" customHeight="1">
      <c r="E43" s="165"/>
      <c r="F43" s="230"/>
      <c r="G43" s="13"/>
      <c r="H43" s="163"/>
      <c r="I43" s="229"/>
      <c r="J43" s="13"/>
      <c r="M43" s="197"/>
    </row>
    <row r="44" spans="1:18" s="61" customFormat="1" ht="15" customHeight="1">
      <c r="E44" s="165" t="s">
        <v>152</v>
      </c>
      <c r="F44" s="230">
        <v>185000</v>
      </c>
      <c r="G44" s="13"/>
      <c r="H44" s="165"/>
      <c r="I44" s="230"/>
      <c r="J44" s="13"/>
      <c r="M44" s="197"/>
      <c r="N44" s="272"/>
      <c r="P44" s="273"/>
      <c r="R44" s="273"/>
    </row>
    <row r="45" spans="1:18" s="61" customFormat="1" ht="15" customHeight="1">
      <c r="E45" s="165" t="s">
        <v>116</v>
      </c>
      <c r="F45" s="230">
        <v>25000</v>
      </c>
      <c r="G45" s="13"/>
      <c r="H45" s="165"/>
      <c r="I45" s="230"/>
      <c r="J45" s="13"/>
      <c r="M45" s="197"/>
      <c r="N45" s="272"/>
      <c r="P45" s="273"/>
      <c r="R45" s="273"/>
    </row>
    <row r="46" spans="1:18" s="61" customFormat="1" ht="15" customHeight="1">
      <c r="E46" s="165" t="s">
        <v>52</v>
      </c>
      <c r="F46" s="230">
        <v>36386.94</v>
      </c>
      <c r="G46" s="13"/>
      <c r="H46" s="165"/>
      <c r="I46" s="230"/>
      <c r="J46" s="13"/>
      <c r="L46" s="165"/>
      <c r="M46" s="230"/>
      <c r="N46" s="272"/>
      <c r="P46" s="273"/>
      <c r="R46" s="273"/>
    </row>
    <row r="47" spans="1:18" s="61" customFormat="1" ht="15" customHeight="1">
      <c r="E47" s="165" t="s">
        <v>64</v>
      </c>
      <c r="F47" s="230">
        <v>150000</v>
      </c>
      <c r="G47" s="13"/>
      <c r="H47" s="165"/>
      <c r="I47" s="230"/>
      <c r="J47" s="13"/>
    </row>
    <row r="48" spans="1:18" s="61" customFormat="1" ht="15" customHeight="1">
      <c r="E48" s="91" t="s">
        <v>24</v>
      </c>
      <c r="F48" s="219">
        <f>15000+65000</f>
        <v>80000</v>
      </c>
      <c r="G48" s="13"/>
      <c r="H48" s="165"/>
      <c r="I48" s="230"/>
      <c r="J48" s="13"/>
    </row>
    <row r="49" spans="1:13" s="61" customFormat="1" ht="15" customHeight="1">
      <c r="E49" s="91" t="s">
        <v>22</v>
      </c>
      <c r="F49" s="219">
        <v>50000</v>
      </c>
      <c r="H49" s="91"/>
      <c r="I49" s="231"/>
      <c r="J49" s="13"/>
    </row>
    <row r="50" spans="1:13" s="61" customFormat="1" ht="15" customHeight="1">
      <c r="E50" s="91" t="s">
        <v>40</v>
      </c>
      <c r="F50" s="232">
        <v>110000</v>
      </c>
      <c r="H50" s="96"/>
      <c r="I50" s="231"/>
      <c r="J50" s="262"/>
    </row>
    <row r="51" spans="1:13" s="61" customFormat="1">
      <c r="E51" s="96" t="s">
        <v>41</v>
      </c>
      <c r="F51" s="231">
        <f>SUM(F44:F50)</f>
        <v>636386.93999999994</v>
      </c>
      <c r="G51" s="83"/>
      <c r="H51" s="83"/>
      <c r="I51" s="228"/>
      <c r="J51" s="13"/>
    </row>
    <row r="52" spans="1:13" s="61" customFormat="1">
      <c r="E52" s="96" t="s">
        <v>42</v>
      </c>
      <c r="F52" s="231">
        <f>F42-F51</f>
        <v>-29027.239999999991</v>
      </c>
      <c r="G52" s="83"/>
      <c r="H52" s="83"/>
      <c r="I52" s="233"/>
      <c r="J52" s="13"/>
    </row>
    <row r="53" spans="1:13" s="61" customFormat="1">
      <c r="F53" s="39"/>
      <c r="G53" s="83"/>
      <c r="H53" s="83"/>
      <c r="I53" s="233"/>
      <c r="J53" s="13"/>
    </row>
    <row r="54" spans="1:13" s="61" customFormat="1">
      <c r="E54" s="83" t="s">
        <v>43</v>
      </c>
      <c r="F54" s="151">
        <v>0</v>
      </c>
      <c r="G54" s="83"/>
      <c r="H54" s="83"/>
      <c r="I54" s="233"/>
      <c r="J54" s="13"/>
      <c r="L54" s="91"/>
      <c r="M54" s="232"/>
    </row>
    <row r="55" spans="1:13" s="61" customFormat="1">
      <c r="E55" s="83" t="s">
        <v>44</v>
      </c>
      <c r="F55" s="151">
        <v>21583.599999999999</v>
      </c>
      <c r="G55" s="83" t="s">
        <v>378</v>
      </c>
      <c r="H55" s="96"/>
      <c r="I55" s="228"/>
      <c r="J55" s="13"/>
      <c r="L55" s="91"/>
      <c r="M55" s="232"/>
    </row>
    <row r="56" spans="1:13" s="61" customFormat="1">
      <c r="E56" s="83" t="s">
        <v>380</v>
      </c>
      <c r="F56" s="151">
        <v>20642.8</v>
      </c>
      <c r="G56" s="83" t="s">
        <v>379</v>
      </c>
      <c r="H56" s="96"/>
      <c r="I56" s="228"/>
      <c r="J56" s="13"/>
      <c r="L56" s="91"/>
      <c r="M56" s="232"/>
    </row>
    <row r="57" spans="1:13" s="61" customFormat="1">
      <c r="E57" s="83" t="s">
        <v>45</v>
      </c>
      <c r="F57" s="95">
        <v>836884.91064840183</v>
      </c>
      <c r="G57" s="83"/>
      <c r="H57" s="83"/>
      <c r="I57" s="233"/>
      <c r="J57" s="13"/>
      <c r="L57" s="96"/>
      <c r="M57" s="231"/>
    </row>
    <row r="58" spans="1:13" s="61" customFormat="1">
      <c r="E58" s="83" t="s">
        <v>205</v>
      </c>
      <c r="F58" s="95">
        <v>0</v>
      </c>
      <c r="H58" s="96"/>
      <c r="I58" s="219"/>
      <c r="J58" s="13"/>
      <c r="L58" s="96"/>
      <c r="M58" s="233"/>
    </row>
    <row r="59" spans="1:13" s="61" customFormat="1">
      <c r="B59"/>
      <c r="C59"/>
      <c r="D59"/>
      <c r="E59" s="83" t="s">
        <v>206</v>
      </c>
      <c r="F59" s="95">
        <v>1100000</v>
      </c>
      <c r="J59" s="13"/>
    </row>
    <row r="60" spans="1:13" s="61" customFormat="1">
      <c r="A60"/>
      <c r="B60"/>
      <c r="C60"/>
      <c r="D60"/>
      <c r="E60" s="96" t="s">
        <v>46</v>
      </c>
      <c r="F60" s="99">
        <f>SUM(F54:F59)</f>
        <v>1979111.3106484017</v>
      </c>
      <c r="J60" s="13"/>
      <c r="L60" s="83"/>
      <c r="M60" s="228"/>
    </row>
    <row r="61" spans="1:13">
      <c r="E61" s="83"/>
      <c r="F61" s="151"/>
      <c r="G61" s="61"/>
      <c r="L61" s="61"/>
      <c r="M61" s="61"/>
    </row>
    <row r="62" spans="1:13">
      <c r="E62" s="96" t="s">
        <v>47</v>
      </c>
      <c r="F62" s="99">
        <f>F52-F60</f>
        <v>-2008138.5506484017</v>
      </c>
      <c r="G62" s="61"/>
      <c r="L62" s="61"/>
      <c r="M62" s="61"/>
    </row>
    <row r="63" spans="1:13">
      <c r="D63" s="247" t="s">
        <v>192</v>
      </c>
      <c r="E63" s="61"/>
      <c r="F63" s="219"/>
      <c r="G63" s="8"/>
    </row>
    <row r="64" spans="1:13">
      <c r="D64" s="247" t="s">
        <v>194</v>
      </c>
      <c r="E64" s="61"/>
      <c r="F64" s="219"/>
      <c r="G64" s="8"/>
    </row>
    <row r="65" spans="1:7">
      <c r="D65" s="8" t="s">
        <v>9</v>
      </c>
      <c r="E65" s="61"/>
      <c r="F65" s="219"/>
      <c r="G65" s="8"/>
    </row>
    <row r="66" spans="1:7">
      <c r="D66" s="8" t="s">
        <v>195</v>
      </c>
      <c r="E66" s="61"/>
      <c r="F66" s="219"/>
      <c r="G66" s="124">
        <f>SUM(E73:F73)</f>
        <v>0</v>
      </c>
    </row>
    <row r="67" spans="1:7">
      <c r="D67" s="8" t="s">
        <v>188</v>
      </c>
      <c r="E67" s="243"/>
      <c r="F67" s="243"/>
      <c r="G67" s="8"/>
    </row>
    <row r="68" spans="1:7">
      <c r="D68" s="8"/>
      <c r="E68" s="243"/>
      <c r="F68" s="286"/>
    </row>
    <row r="69" spans="1:7">
      <c r="E69" s="249"/>
      <c r="F69" s="246"/>
    </row>
    <row r="70" spans="1:7">
      <c r="E70" s="249"/>
      <c r="F70" s="287"/>
    </row>
    <row r="71" spans="1:7">
      <c r="E71" s="249"/>
      <c r="F71" s="287"/>
    </row>
    <row r="72" spans="1:7">
      <c r="E72" s="124"/>
      <c r="F72" s="287"/>
    </row>
    <row r="73" spans="1:7">
      <c r="E73" s="8"/>
    </row>
    <row r="74" spans="1:7">
      <c r="E74" s="8"/>
    </row>
    <row r="75" spans="1:7">
      <c r="A75" s="268"/>
      <c r="E75" s="8"/>
    </row>
    <row r="76" spans="1:7">
      <c r="E76" s="8"/>
    </row>
    <row r="77" spans="1:7">
      <c r="B77" s="235"/>
      <c r="E77" s="8"/>
    </row>
    <row r="78" spans="1:7">
      <c r="E78" s="8"/>
    </row>
    <row r="79" spans="1:7">
      <c r="E79" s="293"/>
    </row>
    <row r="80" spans="1:7">
      <c r="C80" s="155"/>
      <c r="E80" s="8"/>
    </row>
    <row r="81" spans="1:5">
      <c r="A81" s="269"/>
      <c r="E81" s="293"/>
    </row>
    <row r="82" spans="1:5">
      <c r="C82" s="155"/>
      <c r="E82" s="8"/>
    </row>
    <row r="83" spans="1:5">
      <c r="A83" s="269"/>
      <c r="E83" s="293"/>
    </row>
    <row r="84" spans="1:5">
      <c r="C84" s="155"/>
      <c r="E84" s="8"/>
    </row>
    <row r="85" spans="1:5">
      <c r="A85" s="269"/>
      <c r="E85" s="293"/>
    </row>
    <row r="86" spans="1:5">
      <c r="C86" s="155"/>
      <c r="E86" s="8"/>
    </row>
    <row r="87" spans="1:5">
      <c r="A87" s="269"/>
      <c r="E87" s="293"/>
    </row>
    <row r="88" spans="1:5">
      <c r="C88" s="155"/>
      <c r="E88" s="8"/>
    </row>
    <row r="89" spans="1:5">
      <c r="A89" s="269"/>
      <c r="E89" s="293"/>
    </row>
    <row r="90" spans="1:5">
      <c r="C90" s="155"/>
      <c r="E90" s="8"/>
    </row>
    <row r="91" spans="1:5">
      <c r="A91" s="269"/>
      <c r="E91" s="293"/>
    </row>
    <row r="92" spans="1:5">
      <c r="C92" s="155"/>
      <c r="E92" s="8"/>
    </row>
    <row r="93" spans="1:5">
      <c r="A93" s="269"/>
      <c r="E93" s="293"/>
    </row>
    <row r="94" spans="1:5">
      <c r="C94" s="155"/>
      <c r="E94" s="8"/>
    </row>
    <row r="95" spans="1:5">
      <c r="A95" s="269"/>
      <c r="E95" s="293"/>
    </row>
    <row r="96" spans="1:5">
      <c r="C96" s="155"/>
      <c r="E96" s="8"/>
    </row>
    <row r="97" spans="1:5">
      <c r="A97" s="269"/>
      <c r="E97" s="293"/>
    </row>
    <row r="98" spans="1:5">
      <c r="C98" s="155"/>
      <c r="E98" s="8"/>
    </row>
    <row r="99" spans="1:5">
      <c r="A99" s="269"/>
      <c r="E99" s="293"/>
    </row>
    <row r="100" spans="1:5">
      <c r="C100" s="155"/>
      <c r="E100" s="8"/>
    </row>
    <row r="101" spans="1:5">
      <c r="A101" s="269"/>
      <c r="E101" s="293"/>
    </row>
    <row r="102" spans="1:5">
      <c r="C102" s="155"/>
      <c r="E102" s="8"/>
    </row>
    <row r="103" spans="1:5">
      <c r="A103" s="269"/>
      <c r="E103" s="293"/>
    </row>
    <row r="104" spans="1:5">
      <c r="C104" s="155"/>
      <c r="E104" s="8"/>
    </row>
    <row r="105" spans="1:5">
      <c r="A105" s="269"/>
      <c r="E105" s="293"/>
    </row>
    <row r="106" spans="1:5">
      <c r="C106" s="155"/>
      <c r="E106" s="8"/>
    </row>
    <row r="107" spans="1:5">
      <c r="A107" s="269"/>
      <c r="E107" s="293"/>
    </row>
    <row r="108" spans="1:5">
      <c r="C108" s="155"/>
      <c r="E108" s="8"/>
    </row>
    <row r="109" spans="1:5">
      <c r="A109" s="269"/>
      <c r="E109" s="293"/>
    </row>
    <row r="110" spans="1:5">
      <c r="C110" s="155"/>
      <c r="E110" s="8"/>
    </row>
    <row r="111" spans="1:5">
      <c r="A111" s="269"/>
      <c r="E111" s="277"/>
    </row>
    <row r="112" spans="1:5">
      <c r="C112" s="155"/>
      <c r="E112" s="79"/>
    </row>
    <row r="113" spans="1:5">
      <c r="A113" s="269"/>
      <c r="E113" s="277"/>
    </row>
    <row r="114" spans="1:5">
      <c r="C114" s="155"/>
      <c r="E114" s="79"/>
    </row>
    <row r="115" spans="1:5">
      <c r="A115" s="269"/>
      <c r="E115" s="277"/>
    </row>
    <row r="116" spans="1:5">
      <c r="C116" s="155"/>
      <c r="E116" s="79"/>
    </row>
    <row r="117" spans="1:5">
      <c r="A117" s="269"/>
      <c r="E117" s="277"/>
    </row>
    <row r="118" spans="1:5">
      <c r="C118" s="155"/>
      <c r="E118" s="79"/>
    </row>
    <row r="119" spans="1:5">
      <c r="A119" s="269"/>
      <c r="E119" s="277"/>
    </row>
    <row r="120" spans="1:5">
      <c r="C120" s="155"/>
      <c r="E120" s="79"/>
    </row>
    <row r="121" spans="1:5">
      <c r="A121" s="269"/>
      <c r="E121" s="277"/>
    </row>
    <row r="122" spans="1:5">
      <c r="C122" s="155"/>
      <c r="E122" s="79"/>
    </row>
    <row r="123" spans="1:5">
      <c r="A123" s="269"/>
      <c r="E123" s="277"/>
    </row>
    <row r="124" spans="1:5">
      <c r="C124" s="155"/>
    </row>
    <row r="125" spans="1:5">
      <c r="A125" s="269"/>
      <c r="E125" s="155"/>
    </row>
    <row r="126" spans="1:5">
      <c r="C126" s="155"/>
    </row>
    <row r="127" spans="1:5">
      <c r="A127" s="269"/>
      <c r="E127" s="155"/>
    </row>
    <row r="128" spans="1:5">
      <c r="C128" s="155"/>
    </row>
    <row r="129" spans="1:5">
      <c r="A129" s="269"/>
      <c r="E129" s="155"/>
    </row>
    <row r="130" spans="1:5">
      <c r="C130" s="155"/>
    </row>
    <row r="131" spans="1:5">
      <c r="A131" s="269"/>
      <c r="E131" s="155"/>
    </row>
    <row r="132" spans="1:5">
      <c r="C132" s="155"/>
    </row>
    <row r="133" spans="1:5">
      <c r="A133" s="269"/>
      <c r="E133" s="155"/>
    </row>
    <row r="134" spans="1:5">
      <c r="C134" s="155"/>
    </row>
    <row r="135" spans="1:5">
      <c r="A135" s="269"/>
      <c r="E135" s="155"/>
    </row>
    <row r="136" spans="1:5">
      <c r="C136" s="155"/>
    </row>
    <row r="137" spans="1:5">
      <c r="A137" s="269"/>
      <c r="E137" s="155"/>
    </row>
    <row r="138" spans="1:5">
      <c r="C138" s="155"/>
    </row>
    <row r="139" spans="1:5">
      <c r="A139" s="269"/>
      <c r="E139" s="155"/>
    </row>
    <row r="140" spans="1:5">
      <c r="C140" s="155"/>
    </row>
    <row r="141" spans="1:5">
      <c r="A141" s="269"/>
      <c r="E141" s="155"/>
    </row>
    <row r="142" spans="1:5">
      <c r="C142" s="155"/>
    </row>
    <row r="143" spans="1:5">
      <c r="A143" s="269"/>
      <c r="E143" s="155"/>
    </row>
    <row r="144" spans="1:5">
      <c r="C144" s="155"/>
    </row>
    <row r="145" spans="1:5">
      <c r="A145" s="269"/>
      <c r="E145" s="155"/>
    </row>
    <row r="146" spans="1:5">
      <c r="C146" s="155"/>
    </row>
    <row r="147" spans="1:5">
      <c r="A147" s="269"/>
      <c r="E147" s="155"/>
    </row>
    <row r="148" spans="1:5">
      <c r="C148" s="155"/>
    </row>
    <row r="149" spans="1:5">
      <c r="A149" s="269"/>
      <c r="E149" s="155"/>
    </row>
    <row r="150" spans="1:5">
      <c r="C150" s="155"/>
    </row>
    <row r="151" spans="1:5">
      <c r="A151" s="269"/>
      <c r="E151" s="155"/>
    </row>
    <row r="152" spans="1:5">
      <c r="C152" s="155"/>
    </row>
    <row r="153" spans="1:5">
      <c r="A153" s="269"/>
      <c r="E153" s="155"/>
    </row>
    <row r="154" spans="1:5">
      <c r="C154" s="155"/>
    </row>
    <row r="155" spans="1:5">
      <c r="A155" s="269"/>
      <c r="E155" s="155"/>
    </row>
    <row r="156" spans="1:5">
      <c r="C156" s="155"/>
    </row>
    <row r="157" spans="1:5">
      <c r="A157" s="269"/>
      <c r="E157" s="155"/>
    </row>
    <row r="158" spans="1:5">
      <c r="C158" s="155"/>
    </row>
    <row r="159" spans="1:5">
      <c r="A159" s="269"/>
      <c r="E159" s="155"/>
    </row>
    <row r="160" spans="1:5">
      <c r="C160" s="155"/>
    </row>
    <row r="161" spans="1:5">
      <c r="A161" s="269"/>
      <c r="E161" s="155"/>
    </row>
    <row r="162" spans="1:5">
      <c r="C162" s="155"/>
    </row>
    <row r="163" spans="1:5">
      <c r="A163" s="269"/>
      <c r="E163" s="155"/>
    </row>
    <row r="164" spans="1:5">
      <c r="C164" s="155"/>
    </row>
    <row r="165" spans="1:5">
      <c r="A165" s="269"/>
      <c r="E165" s="155"/>
    </row>
    <row r="166" spans="1:5">
      <c r="C166" s="155"/>
    </row>
    <row r="167" spans="1:5">
      <c r="A167" s="269"/>
      <c r="E167" s="155"/>
    </row>
    <row r="168" spans="1:5">
      <c r="C168" s="155"/>
    </row>
    <row r="169" spans="1:5">
      <c r="A169" s="269"/>
      <c r="E169" s="155"/>
    </row>
    <row r="170" spans="1:5">
      <c r="C170" s="155"/>
    </row>
    <row r="171" spans="1:5">
      <c r="A171" s="269"/>
      <c r="E171" s="155"/>
    </row>
    <row r="172" spans="1:5">
      <c r="C172" s="155"/>
    </row>
    <row r="173" spans="1:5">
      <c r="A173" s="269"/>
      <c r="E173" s="155"/>
    </row>
    <row r="174" spans="1:5">
      <c r="C174" s="155"/>
    </row>
    <row r="175" spans="1:5">
      <c r="A175" s="269"/>
      <c r="E175" s="155"/>
    </row>
    <row r="176" spans="1:5">
      <c r="C176" s="155"/>
    </row>
    <row r="177" spans="1:5">
      <c r="A177" s="269"/>
      <c r="E177" s="155"/>
    </row>
    <row r="178" spans="1:5">
      <c r="C178" s="155"/>
    </row>
    <row r="179" spans="1:5">
      <c r="A179" s="269"/>
      <c r="E179" s="155"/>
    </row>
    <row r="180" spans="1:5">
      <c r="C180" s="155"/>
    </row>
    <row r="181" spans="1:5">
      <c r="A181" s="269"/>
      <c r="E181" s="155"/>
    </row>
    <row r="182" spans="1:5">
      <c r="C182" s="155"/>
    </row>
    <row r="183" spans="1:5">
      <c r="A183" s="269"/>
      <c r="E183" s="155"/>
    </row>
    <row r="184" spans="1:5">
      <c r="C184" s="155"/>
    </row>
    <row r="185" spans="1:5">
      <c r="A185" s="269"/>
      <c r="E185" s="155"/>
    </row>
    <row r="186" spans="1:5">
      <c r="C186" s="155"/>
    </row>
    <row r="187" spans="1:5">
      <c r="A187" s="269"/>
      <c r="E187" s="155"/>
    </row>
    <row r="188" spans="1:5">
      <c r="C188" s="155"/>
    </row>
    <row r="189" spans="1:5">
      <c r="A189" s="269"/>
      <c r="E189" s="155"/>
    </row>
    <row r="190" spans="1:5">
      <c r="C190" s="155"/>
    </row>
    <row r="191" spans="1:5">
      <c r="A191" s="269"/>
      <c r="E191" s="155"/>
    </row>
    <row r="192" spans="1:5">
      <c r="C192" s="155"/>
    </row>
    <row r="193" spans="1:5">
      <c r="A193" s="269"/>
      <c r="E193" s="155"/>
    </row>
    <row r="194" spans="1:5">
      <c r="C194" s="155"/>
    </row>
    <row r="195" spans="1:5">
      <c r="A195" s="269"/>
      <c r="E195" s="155"/>
    </row>
    <row r="196" spans="1:5">
      <c r="C196" s="155"/>
    </row>
    <row r="197" spans="1:5">
      <c r="A197" s="269"/>
      <c r="E197" s="155"/>
    </row>
    <row r="198" spans="1:5">
      <c r="C198" s="155"/>
    </row>
    <row r="199" spans="1:5">
      <c r="A199" s="269"/>
      <c r="E199" s="155"/>
    </row>
    <row r="200" spans="1:5">
      <c r="D200" s="155"/>
    </row>
    <row r="201" spans="1:5">
      <c r="A201" s="269"/>
      <c r="E201" s="155"/>
    </row>
    <row r="202" spans="1:5">
      <c r="C202" s="155"/>
    </row>
    <row r="203" spans="1:5">
      <c r="A203" s="269"/>
      <c r="E203" s="155"/>
    </row>
    <row r="204" spans="1:5">
      <c r="C204" s="155"/>
    </row>
    <row r="205" spans="1:5">
      <c r="A205" s="269"/>
      <c r="E205" s="155"/>
    </row>
    <row r="206" spans="1:5">
      <c r="C206" s="155"/>
    </row>
    <row r="207" spans="1:5">
      <c r="A207" s="269"/>
      <c r="E207" s="155"/>
    </row>
    <row r="208" spans="1:5">
      <c r="C208" s="155"/>
    </row>
    <row r="209" spans="1:5">
      <c r="A209" s="269"/>
      <c r="E209" s="155"/>
    </row>
    <row r="210" spans="1:5">
      <c r="C210" s="155"/>
    </row>
    <row r="211" spans="1:5">
      <c r="A211" s="269"/>
    </row>
  </sheetData>
  <mergeCells count="16">
    <mergeCell ref="B31:D31"/>
    <mergeCell ref="B12:E12"/>
    <mergeCell ref="B19:D19"/>
    <mergeCell ref="B20:D20"/>
    <mergeCell ref="G21:H21"/>
    <mergeCell ref="G25:K25"/>
    <mergeCell ref="G27:H27"/>
    <mergeCell ref="B30:D30"/>
    <mergeCell ref="B17:D17"/>
    <mergeCell ref="E10:F10"/>
    <mergeCell ref="B14:D14"/>
    <mergeCell ref="B15:D15"/>
    <mergeCell ref="B16:D16"/>
    <mergeCell ref="G14:K14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8882B-24B4-44BE-89CE-AE8AB9643BE8}">
  <dimension ref="A6:R212"/>
  <sheetViews>
    <sheetView showGridLines="0" topLeftCell="A6" workbookViewId="0">
      <selection activeCell="A6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</row>
    <row r="12" spans="1:12" ht="19" thickBot="1">
      <c r="A12" s="1"/>
      <c r="B12" s="331" t="s">
        <v>2</v>
      </c>
      <c r="C12" s="332"/>
      <c r="D12" s="332"/>
      <c r="E12" s="333"/>
      <c r="F12" s="295"/>
      <c r="G12" s="296"/>
      <c r="H12" s="1"/>
      <c r="I12" s="1"/>
      <c r="J12" s="76"/>
      <c r="K12" s="1"/>
    </row>
    <row r="13" spans="1:12" ht="18" thickBot="1">
      <c r="A13" s="1"/>
      <c r="B13" s="1"/>
      <c r="C13" s="1"/>
      <c r="D13" s="1"/>
      <c r="E13" s="1"/>
      <c r="F13" s="215"/>
      <c r="G13" s="11"/>
      <c r="H13" s="11"/>
      <c r="I13" s="11"/>
      <c r="J13" s="15"/>
      <c r="K13" s="16"/>
    </row>
    <row r="14" spans="1:12" ht="18" thickBot="1">
      <c r="A14" s="11"/>
      <c r="B14" s="334" t="s">
        <v>3</v>
      </c>
      <c r="C14" s="335"/>
      <c r="D14" s="336"/>
      <c r="E14" s="17">
        <f>SUM(E15:E17)</f>
        <v>720353.49999999988</v>
      </c>
      <c r="F14" s="264"/>
      <c r="G14" s="331" t="s">
        <v>4</v>
      </c>
      <c r="H14" s="332"/>
      <c r="I14" s="332"/>
      <c r="J14" s="332"/>
      <c r="K14" s="333"/>
      <c r="L14" s="13"/>
    </row>
    <row r="15" spans="1:12">
      <c r="A15" s="1"/>
      <c r="B15" s="337" t="s">
        <v>5</v>
      </c>
      <c r="C15" s="338"/>
      <c r="D15" s="339"/>
      <c r="E15" s="20">
        <f>J16+J17+J18+J19</f>
        <v>559649.09</v>
      </c>
      <c r="F15" s="153"/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33124.199999999997</v>
      </c>
      <c r="F16" s="153"/>
      <c r="G16" s="22">
        <v>40693.660000000003</v>
      </c>
      <c r="H16" s="23" t="s">
        <v>8</v>
      </c>
      <c r="I16" s="24"/>
      <c r="J16" s="25">
        <v>63737.14</v>
      </c>
      <c r="K16" s="26" t="s">
        <v>9</v>
      </c>
      <c r="L16" s="19"/>
    </row>
    <row r="17" spans="1:18">
      <c r="A17" s="1"/>
      <c r="B17" s="352" t="s">
        <v>6</v>
      </c>
      <c r="C17" s="353"/>
      <c r="D17" s="354"/>
      <c r="E17" s="28">
        <f>G16+G17+G18</f>
        <v>127580.21</v>
      </c>
      <c r="F17" s="153">
        <f>E15+E16+E17</f>
        <v>720353.49999999988</v>
      </c>
      <c r="G17" s="22">
        <f>81664.69-20000</f>
        <v>61664.69</v>
      </c>
      <c r="H17" s="29" t="s">
        <v>10</v>
      </c>
      <c r="I17" s="30"/>
      <c r="J17" s="25">
        <v>47562.15</v>
      </c>
      <c r="K17" s="31" t="s">
        <v>10</v>
      </c>
      <c r="L17" s="13"/>
    </row>
    <row r="18" spans="1:18">
      <c r="A18" s="1"/>
      <c r="B18" s="236" t="s">
        <v>187</v>
      </c>
      <c r="C18" s="237"/>
      <c r="D18" s="238"/>
      <c r="E18" s="28">
        <f>+J22</f>
        <v>23147.18</v>
      </c>
      <c r="F18" s="153">
        <v>90000</v>
      </c>
      <c r="G18" s="22">
        <f>20000+5221.86</f>
        <v>25221.86</v>
      </c>
      <c r="H18" s="29" t="s">
        <v>12</v>
      </c>
      <c r="I18" s="30"/>
      <c r="J18" s="25">
        <f>317978.34-20000</f>
        <v>297978.34000000003</v>
      </c>
      <c r="K18" s="31" t="s">
        <v>12</v>
      </c>
      <c r="L18" s="13"/>
      <c r="N18" s="3"/>
    </row>
    <row r="19" spans="1:18">
      <c r="B19" s="379" t="s">
        <v>11</v>
      </c>
      <c r="C19" s="380"/>
      <c r="D19" s="381"/>
      <c r="E19" s="20">
        <f>G29+G31+G30+G28</f>
        <v>14170.63</v>
      </c>
      <c r="F19" s="153">
        <f>+F17-F18</f>
        <v>630353.49999999988</v>
      </c>
      <c r="G19" s="33"/>
      <c r="H19" s="34"/>
      <c r="I19" s="30"/>
      <c r="J19" s="25">
        <v>150371.46</v>
      </c>
      <c r="K19" s="31" t="s">
        <v>14</v>
      </c>
      <c r="N19" s="3"/>
    </row>
    <row r="20" spans="1:18">
      <c r="B20" s="344" t="s">
        <v>13</v>
      </c>
      <c r="C20" s="345"/>
      <c r="D20" s="346"/>
      <c r="E20" s="20">
        <v>18820964.149999999</v>
      </c>
      <c r="F20" s="153"/>
      <c r="G20" s="239"/>
      <c r="H20" s="240"/>
      <c r="I20" s="30"/>
      <c r="J20" s="25"/>
      <c r="K20" s="31"/>
      <c r="L20" s="152"/>
      <c r="N20" s="3"/>
    </row>
    <row r="21" spans="1:18">
      <c r="B21" s="187" t="s">
        <v>15</v>
      </c>
      <c r="C21" s="188"/>
      <c r="D21" s="189"/>
      <c r="E21" s="190">
        <f>SUM(E22:E25)</f>
        <v>121447.61000000002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  <c r="N21" s="268"/>
    </row>
    <row r="22" spans="1:18">
      <c r="B22" s="187"/>
      <c r="C22" s="188"/>
      <c r="D22" s="198" t="s">
        <v>369</v>
      </c>
      <c r="E22" s="190">
        <v>45862.18</v>
      </c>
      <c r="F22" s="153"/>
      <c r="G22" s="44">
        <f>20000+4949.24</f>
        <v>24949.239999999998</v>
      </c>
      <c r="H22" s="29" t="s">
        <v>10</v>
      </c>
      <c r="I22" s="30"/>
      <c r="J22" s="25">
        <v>23147.18</v>
      </c>
      <c r="K22" s="31" t="s">
        <v>188</v>
      </c>
      <c r="L22" s="294"/>
      <c r="M22" s="294"/>
    </row>
    <row r="23" spans="1:18">
      <c r="B23" s="187"/>
      <c r="C23" s="188"/>
      <c r="D23" s="198" t="s">
        <v>147</v>
      </c>
      <c r="E23" s="190">
        <v>928</v>
      </c>
      <c r="F23" s="153"/>
      <c r="G23" s="44">
        <v>8174.96</v>
      </c>
      <c r="H23" s="29" t="s">
        <v>18</v>
      </c>
      <c r="I23" s="30"/>
      <c r="J23" s="25"/>
      <c r="K23" s="31"/>
      <c r="L23" s="294"/>
      <c r="M23" s="294"/>
    </row>
    <row r="24" spans="1:18" ht="15" thickBot="1">
      <c r="B24" s="187"/>
      <c r="C24" s="188"/>
      <c r="D24" s="198" t="s">
        <v>172</v>
      </c>
      <c r="E24" s="190">
        <v>60211.61</v>
      </c>
      <c r="F24" s="153"/>
      <c r="G24" s="51"/>
      <c r="H24" s="34"/>
      <c r="I24" s="30"/>
      <c r="J24" s="210"/>
      <c r="K24" s="53"/>
      <c r="L24" s="294"/>
      <c r="M24" s="294"/>
      <c r="O24" s="235"/>
    </row>
    <row r="25" spans="1:18" ht="15" thickBot="1">
      <c r="B25" s="187"/>
      <c r="C25" s="188"/>
      <c r="D25" s="198" t="s">
        <v>172</v>
      </c>
      <c r="E25" s="190">
        <v>14445.82</v>
      </c>
      <c r="F25" s="153"/>
      <c r="G25" s="331" t="s">
        <v>21</v>
      </c>
      <c r="H25" s="332"/>
      <c r="I25" s="332"/>
      <c r="J25" s="332"/>
      <c r="K25" s="333"/>
    </row>
    <row r="26" spans="1:18">
      <c r="B26" s="202" t="s">
        <v>17</v>
      </c>
      <c r="C26" s="203"/>
      <c r="D26" s="204"/>
      <c r="E26" s="234">
        <v>54564.22</v>
      </c>
      <c r="F26" s="220"/>
      <c r="G26" s="54"/>
      <c r="H26" s="55"/>
      <c r="I26" s="56"/>
      <c r="J26" s="211"/>
      <c r="K26" s="58"/>
      <c r="N26" s="290"/>
    </row>
    <row r="27" spans="1:18">
      <c r="B27" s="202" t="s">
        <v>52</v>
      </c>
      <c r="C27" s="203"/>
      <c r="D27" s="204"/>
      <c r="E27" s="234">
        <v>0</v>
      </c>
      <c r="F27" s="153">
        <f>+F19-E26</f>
        <v>575789.27999999991</v>
      </c>
      <c r="G27" s="377" t="s">
        <v>5</v>
      </c>
      <c r="H27" s="378"/>
      <c r="I27" s="59"/>
      <c r="J27" s="60"/>
      <c r="K27" s="45"/>
      <c r="N27" s="290"/>
      <c r="Q27" s="155"/>
      <c r="R27" s="155"/>
    </row>
    <row r="28" spans="1:18">
      <c r="B28" s="199" t="s">
        <v>22</v>
      </c>
      <c r="C28" s="200"/>
      <c r="D28" s="201"/>
      <c r="E28" s="234">
        <v>0</v>
      </c>
      <c r="F28" s="288">
        <f>SUM(E26:E32)</f>
        <v>54564.22</v>
      </c>
      <c r="G28" s="22">
        <v>4167.75</v>
      </c>
      <c r="H28" s="62" t="s">
        <v>9</v>
      </c>
      <c r="I28" s="59"/>
      <c r="J28" s="60"/>
      <c r="K28" s="45"/>
      <c r="N28" s="290"/>
      <c r="P28" s="155"/>
      <c r="R28" s="155"/>
    </row>
    <row r="29" spans="1:18">
      <c r="B29" s="199" t="s">
        <v>25</v>
      </c>
      <c r="C29" s="200"/>
      <c r="D29" s="201"/>
      <c r="E29" s="234">
        <v>0</v>
      </c>
      <c r="F29" s="153">
        <f>+F27-F28</f>
        <v>521225.05999999994</v>
      </c>
      <c r="G29" s="22">
        <v>975.4</v>
      </c>
      <c r="H29" s="62" t="s">
        <v>26</v>
      </c>
      <c r="I29" s="63"/>
      <c r="J29" s="64" t="s">
        <v>27</v>
      </c>
      <c r="K29" s="65" t="s">
        <v>28</v>
      </c>
      <c r="M29" s="291"/>
      <c r="N29" s="292"/>
    </row>
    <row r="30" spans="1:18">
      <c r="B30" s="199" t="s">
        <v>80</v>
      </c>
      <c r="C30" s="200"/>
      <c r="D30" s="201"/>
      <c r="E30" s="49">
        <v>0</v>
      </c>
      <c r="F30" s="221"/>
      <c r="G30" s="67">
        <v>1772.9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1:18" ht="15" thickBot="1">
      <c r="B31" s="344" t="s">
        <v>69</v>
      </c>
      <c r="C31" s="345"/>
      <c r="D31" s="346"/>
      <c r="E31" s="234">
        <v>0</v>
      </c>
      <c r="F31" s="220"/>
      <c r="G31" s="71">
        <v>7254.58</v>
      </c>
      <c r="H31" s="72" t="s">
        <v>12</v>
      </c>
      <c r="I31" s="73"/>
      <c r="J31" s="74" t="s">
        <v>32</v>
      </c>
      <c r="K31" s="75" t="s">
        <v>33</v>
      </c>
    </row>
    <row r="32" spans="1:18" ht="15" thickBot="1">
      <c r="B32" s="363" t="s">
        <v>29</v>
      </c>
      <c r="C32" s="364"/>
      <c r="D32" s="365"/>
      <c r="E32" s="66">
        <v>0</v>
      </c>
      <c r="F32" s="220"/>
      <c r="N32" s="269"/>
      <c r="P32" s="155"/>
      <c r="R32" s="155"/>
    </row>
    <row r="33" spans="2:18">
      <c r="E33" s="61"/>
      <c r="F33" s="219"/>
    </row>
    <row r="34" spans="2:18">
      <c r="E34" s="61"/>
      <c r="F34" s="219"/>
      <c r="H34" s="61"/>
      <c r="I34" s="61"/>
      <c r="J34" s="39"/>
      <c r="K34" s="61"/>
      <c r="N34" s="269"/>
      <c r="P34" s="155"/>
      <c r="R34" s="155"/>
    </row>
    <row r="35" spans="2:18">
      <c r="E35" s="61"/>
      <c r="F35" s="219"/>
      <c r="G35" s="8"/>
      <c r="H35" s="61"/>
      <c r="I35" s="61"/>
      <c r="J35" s="39"/>
      <c r="K35" s="61"/>
    </row>
    <row r="36" spans="2:18">
      <c r="E36" s="61"/>
      <c r="F36" s="219"/>
      <c r="G36" s="8"/>
      <c r="H36" s="13"/>
      <c r="I36" s="61"/>
      <c r="J36" s="13"/>
      <c r="K36" s="83"/>
      <c r="L36" s="61"/>
      <c r="M36" s="61"/>
      <c r="N36" s="269"/>
      <c r="P36" s="155"/>
      <c r="R36" s="155"/>
    </row>
    <row r="37" spans="2:18">
      <c r="B37" s="61"/>
      <c r="C37" s="61"/>
      <c r="D37" s="61"/>
      <c r="E37" s="78" t="s">
        <v>381</v>
      </c>
      <c r="F37" s="297"/>
      <c r="G37" s="181"/>
      <c r="H37" s="161"/>
      <c r="I37" s="197"/>
      <c r="J37" s="13"/>
      <c r="K37" s="83"/>
      <c r="L37" s="61"/>
      <c r="M37" s="61"/>
    </row>
    <row r="38" spans="2:18" s="61" customFormat="1" ht="15" customHeight="1">
      <c r="E38" s="78"/>
      <c r="F38" s="297"/>
      <c r="G38" s="86"/>
      <c r="H38" s="161"/>
      <c r="I38" s="197"/>
      <c r="J38" s="13"/>
      <c r="K38" s="83"/>
      <c r="L38" s="88"/>
      <c r="N38" s="272"/>
      <c r="P38" s="273"/>
      <c r="R38" s="273"/>
    </row>
    <row r="39" spans="2:18" s="61" customFormat="1" ht="15" customHeight="1">
      <c r="E39" s="83" t="s">
        <v>34</v>
      </c>
      <c r="F39" s="297">
        <f>F19</f>
        <v>630353.49999999988</v>
      </c>
      <c r="G39" s="86"/>
      <c r="I39" s="197"/>
      <c r="J39" s="13"/>
      <c r="K39" s="85"/>
      <c r="L39" s="161"/>
      <c r="M39" s="197"/>
    </row>
    <row r="40" spans="2:18" s="61" customFormat="1" ht="15" customHeight="1">
      <c r="E40" s="83" t="s">
        <v>35</v>
      </c>
      <c r="F40" s="297">
        <f>+E19</f>
        <v>14170.63</v>
      </c>
      <c r="G40" s="86"/>
      <c r="I40" s="214"/>
      <c r="J40" s="13"/>
      <c r="K40" s="87"/>
      <c r="L40" s="161"/>
      <c r="M40" s="197"/>
      <c r="N40" s="272"/>
      <c r="P40" s="273"/>
      <c r="R40" s="273"/>
    </row>
    <row r="41" spans="2:18" s="61" customFormat="1" ht="15" customHeight="1">
      <c r="E41" s="83" t="s">
        <v>36</v>
      </c>
      <c r="F41" s="297">
        <v>0</v>
      </c>
      <c r="G41" s="9">
        <v>500000</v>
      </c>
      <c r="I41" s="197"/>
      <c r="J41" s="13"/>
      <c r="M41" s="197"/>
    </row>
    <row r="42" spans="2:18" s="61" customFormat="1" ht="15" customHeight="1">
      <c r="E42" s="83" t="s">
        <v>37</v>
      </c>
      <c r="F42" s="297">
        <v>0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85" t="s">
        <v>38</v>
      </c>
      <c r="F43" s="231">
        <f>SUM(F39:F42)</f>
        <v>644524.12999999989</v>
      </c>
      <c r="G43" s="9"/>
      <c r="H43" s="163"/>
      <c r="I43" s="229"/>
      <c r="J43" s="13"/>
      <c r="M43" s="197"/>
    </row>
    <row r="44" spans="2:18" s="61" customFormat="1" ht="15" customHeight="1">
      <c r="E44" s="87"/>
      <c r="F44" s="232"/>
      <c r="G44" s="9"/>
      <c r="H44" s="165"/>
      <c r="I44" s="230"/>
      <c r="J44" s="13"/>
      <c r="M44" s="197"/>
      <c r="N44" s="272"/>
      <c r="P44" s="273"/>
      <c r="R44" s="273"/>
    </row>
    <row r="45" spans="2:18" s="61" customFormat="1" ht="15" customHeight="1">
      <c r="E45" s="87" t="s">
        <v>152</v>
      </c>
      <c r="F45" s="232">
        <v>185000</v>
      </c>
      <c r="G45" s="9"/>
      <c r="H45" s="165"/>
      <c r="I45" s="230"/>
      <c r="J45" s="13"/>
      <c r="M45" s="197"/>
      <c r="N45" s="272"/>
      <c r="P45" s="273"/>
      <c r="R45" s="273"/>
    </row>
    <row r="46" spans="2:18" s="61" customFormat="1" ht="15" customHeight="1">
      <c r="E46" s="87" t="s">
        <v>116</v>
      </c>
      <c r="F46" s="232">
        <v>0</v>
      </c>
      <c r="G46" s="9"/>
      <c r="H46" s="165"/>
      <c r="I46" s="230"/>
      <c r="J46" s="13"/>
      <c r="L46" s="165"/>
      <c r="M46" s="230"/>
      <c r="N46" s="272"/>
      <c r="P46" s="273"/>
      <c r="R46" s="273"/>
    </row>
    <row r="47" spans="2:18" s="61" customFormat="1" ht="15" customHeight="1">
      <c r="E47" s="87" t="s">
        <v>52</v>
      </c>
      <c r="F47" s="232">
        <v>0</v>
      </c>
      <c r="G47" s="9"/>
      <c r="H47" s="165"/>
      <c r="I47" s="230"/>
      <c r="J47" s="13"/>
    </row>
    <row r="48" spans="2:18" s="61" customFormat="1" ht="15" customHeight="1">
      <c r="E48" s="87" t="s">
        <v>64</v>
      </c>
      <c r="F48" s="232">
        <v>150000</v>
      </c>
      <c r="G48" s="9"/>
      <c r="H48" s="165"/>
      <c r="I48" s="230"/>
      <c r="J48" s="13"/>
    </row>
    <row r="49" spans="2:13" s="61" customFormat="1" ht="15" customHeight="1">
      <c r="E49" s="91" t="s">
        <v>24</v>
      </c>
      <c r="F49" s="228">
        <f>15000+65000</f>
        <v>80000</v>
      </c>
      <c r="G49" s="8"/>
      <c r="H49" s="91"/>
      <c r="I49" s="231"/>
      <c r="J49" s="13"/>
    </row>
    <row r="50" spans="2:13" s="61" customFormat="1" ht="15" customHeight="1">
      <c r="E50" s="91" t="s">
        <v>22</v>
      </c>
      <c r="F50" s="228">
        <v>50000</v>
      </c>
      <c r="G50" s="8"/>
      <c r="H50" s="96"/>
      <c r="I50" s="231"/>
      <c r="J50" s="262"/>
    </row>
    <row r="51" spans="2:13" s="61" customFormat="1">
      <c r="E51" s="91" t="s">
        <v>40</v>
      </c>
      <c r="F51" s="232">
        <v>110000</v>
      </c>
      <c r="G51" s="82"/>
      <c r="H51" s="83"/>
      <c r="I51" s="228"/>
      <c r="J51" s="13"/>
    </row>
    <row r="52" spans="2:13" s="61" customFormat="1">
      <c r="E52" s="96" t="s">
        <v>41</v>
      </c>
      <c r="F52" s="231">
        <f>SUM(F45:F51)</f>
        <v>575000</v>
      </c>
      <c r="G52" s="82"/>
      <c r="H52" s="83"/>
      <c r="I52" s="233"/>
      <c r="J52" s="13"/>
    </row>
    <row r="53" spans="2:13" s="61" customFormat="1">
      <c r="E53" s="96" t="s">
        <v>42</v>
      </c>
      <c r="F53" s="231">
        <f>F43-F52</f>
        <v>69524.129999999888</v>
      </c>
      <c r="G53" s="82"/>
      <c r="H53" s="83"/>
      <c r="I53" s="233"/>
      <c r="J53" s="13"/>
    </row>
    <row r="54" spans="2:13" s="61" customFormat="1">
      <c r="E54" s="83"/>
      <c r="F54" s="151"/>
      <c r="G54" s="82"/>
      <c r="H54" s="83"/>
      <c r="I54" s="233"/>
      <c r="J54" s="13"/>
      <c r="L54" s="91"/>
      <c r="M54" s="232"/>
    </row>
    <row r="55" spans="2:13" s="61" customFormat="1">
      <c r="E55" s="83" t="s">
        <v>43</v>
      </c>
      <c r="F55" s="151">
        <v>0</v>
      </c>
      <c r="G55" s="82" t="s">
        <v>378</v>
      </c>
      <c r="H55" s="96"/>
      <c r="I55" s="228"/>
      <c r="J55" s="13"/>
      <c r="L55" s="91"/>
      <c r="M55" s="232"/>
    </row>
    <row r="56" spans="2:13" s="61" customFormat="1">
      <c r="E56" s="83" t="s">
        <v>44</v>
      </c>
      <c r="F56" s="151">
        <f>85000+21583.6</f>
        <v>106583.6</v>
      </c>
      <c r="G56" s="82" t="s">
        <v>379</v>
      </c>
      <c r="H56" s="96"/>
      <c r="I56" s="228"/>
      <c r="J56" s="13"/>
      <c r="L56" s="91"/>
      <c r="M56" s="232"/>
    </row>
    <row r="57" spans="2:13" s="61" customFormat="1">
      <c r="E57" s="83" t="s">
        <v>380</v>
      </c>
      <c r="F57" s="151">
        <v>20642.8</v>
      </c>
      <c r="G57" s="82"/>
      <c r="H57" s="83"/>
      <c r="I57" s="233"/>
      <c r="J57" s="13"/>
      <c r="L57" s="96"/>
      <c r="M57" s="231"/>
    </row>
    <row r="58" spans="2:13" s="61" customFormat="1">
      <c r="E58" s="83" t="s">
        <v>45</v>
      </c>
      <c r="F58" s="95">
        <v>993098.58</v>
      </c>
      <c r="G58" s="8"/>
      <c r="H58" s="96"/>
      <c r="I58" s="219"/>
      <c r="J58" s="13"/>
      <c r="L58" s="96"/>
      <c r="M58" s="233"/>
    </row>
    <row r="59" spans="2:13" s="61" customFormat="1">
      <c r="E59" s="83" t="s">
        <v>205</v>
      </c>
      <c r="F59" s="95">
        <v>0</v>
      </c>
      <c r="G59" s="8"/>
      <c r="J59" s="13"/>
    </row>
    <row r="60" spans="2:13" s="61" customFormat="1">
      <c r="B60"/>
      <c r="C60"/>
      <c r="D60"/>
      <c r="E60" s="83" t="s">
        <v>206</v>
      </c>
      <c r="F60" s="95">
        <v>1100000</v>
      </c>
      <c r="G60" s="8"/>
      <c r="J60" s="13"/>
      <c r="L60" s="83"/>
      <c r="M60" s="228"/>
    </row>
    <row r="61" spans="2:13">
      <c r="E61" s="96" t="s">
        <v>46</v>
      </c>
      <c r="F61" s="99">
        <f>SUM(F55:F60)</f>
        <v>2220324.98</v>
      </c>
      <c r="G61" s="8"/>
      <c r="L61" s="61"/>
      <c r="M61" s="61"/>
    </row>
    <row r="62" spans="2:13">
      <c r="E62" s="83"/>
      <c r="F62" s="151"/>
      <c r="G62" s="8"/>
      <c r="L62" s="61"/>
      <c r="M62" s="61"/>
    </row>
    <row r="63" spans="2:13">
      <c r="E63" s="96" t="s">
        <v>47</v>
      </c>
      <c r="F63" s="99">
        <f>F53-F61</f>
        <v>-2150800.85</v>
      </c>
      <c r="G63" s="8"/>
    </row>
    <row r="64" spans="2:13">
      <c r="D64" s="247" t="s">
        <v>192</v>
      </c>
      <c r="E64" s="61"/>
      <c r="F64" s="219"/>
      <c r="G64" s="8"/>
    </row>
    <row r="65" spans="1:7">
      <c r="D65" s="247" t="s">
        <v>194</v>
      </c>
      <c r="E65" s="61"/>
      <c r="F65" s="219"/>
      <c r="G65" s="8"/>
    </row>
    <row r="66" spans="1:7">
      <c r="D66" s="8" t="s">
        <v>9</v>
      </c>
      <c r="E66" s="61"/>
      <c r="F66" s="219"/>
      <c r="G66" s="124">
        <f>SUM(E74:F74)</f>
        <v>0</v>
      </c>
    </row>
    <row r="67" spans="1:7">
      <c r="D67" s="8" t="s">
        <v>195</v>
      </c>
      <c r="E67" s="8"/>
      <c r="F67" s="220"/>
      <c r="G67" s="8"/>
    </row>
    <row r="68" spans="1:7">
      <c r="D68" s="8" t="s">
        <v>188</v>
      </c>
      <c r="E68" s="247"/>
      <c r="F68" s="247"/>
      <c r="G68" s="8"/>
    </row>
    <row r="69" spans="1:7">
      <c r="D69" s="8"/>
      <c r="E69" s="247"/>
      <c r="F69" s="248"/>
    </row>
    <row r="70" spans="1:7">
      <c r="E70" s="249"/>
      <c r="F70" s="246"/>
    </row>
    <row r="71" spans="1:7">
      <c r="E71" s="249"/>
      <c r="F71" s="287"/>
    </row>
    <row r="72" spans="1:7">
      <c r="E72" s="249"/>
      <c r="F72" s="287"/>
    </row>
    <row r="73" spans="1:7">
      <c r="E73" s="124"/>
      <c r="F73" s="287"/>
    </row>
    <row r="74" spans="1:7">
      <c r="E74" s="8"/>
    </row>
    <row r="75" spans="1:7">
      <c r="E75" s="8"/>
    </row>
    <row r="76" spans="1:7">
      <c r="A76" s="268"/>
      <c r="E76" s="8"/>
    </row>
    <row r="77" spans="1:7">
      <c r="E77" s="8"/>
    </row>
    <row r="78" spans="1:7">
      <c r="B78" s="235"/>
      <c r="E78" s="8"/>
    </row>
    <row r="79" spans="1:7">
      <c r="E79" s="8"/>
    </row>
    <row r="80" spans="1:7">
      <c r="E80" s="293"/>
    </row>
    <row r="81" spans="1:5">
      <c r="C81" s="155"/>
      <c r="E81" s="8"/>
    </row>
    <row r="82" spans="1:5">
      <c r="A82" s="269"/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93"/>
    </row>
    <row r="111" spans="1:5">
      <c r="C111" s="155"/>
      <c r="E111" s="8"/>
    </row>
    <row r="112" spans="1:5">
      <c r="A112" s="269"/>
      <c r="E112" s="277"/>
    </row>
    <row r="113" spans="1:5">
      <c r="C113" s="155"/>
      <c r="E113" s="79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  <c r="E123" s="79"/>
    </row>
    <row r="124" spans="1:5">
      <c r="A124" s="269"/>
      <c r="E124" s="277"/>
    </row>
    <row r="125" spans="1:5">
      <c r="C125" s="155"/>
    </row>
    <row r="126" spans="1:5">
      <c r="A126" s="269"/>
      <c r="E126" s="155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C199" s="155"/>
    </row>
    <row r="200" spans="1:5">
      <c r="A200" s="269"/>
      <c r="E200" s="155"/>
    </row>
    <row r="201" spans="1:5">
      <c r="D201" s="155"/>
    </row>
    <row r="202" spans="1:5">
      <c r="A202" s="269"/>
      <c r="E202" s="155"/>
    </row>
    <row r="203" spans="1:5">
      <c r="C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5">
      <c r="C209" s="155"/>
    </row>
    <row r="210" spans="1:5">
      <c r="A210" s="269"/>
      <c r="E210" s="155"/>
    </row>
    <row r="211" spans="1:5">
      <c r="C211" s="155"/>
    </row>
    <row r="212" spans="1:5">
      <c r="A212" s="269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ECBCD-CBEE-4C52-B149-1BCEC9A7BB59}">
  <dimension ref="A6:R212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</row>
    <row r="12" spans="1:12" ht="19" thickBot="1">
      <c r="A12" s="1"/>
      <c r="B12" s="331" t="s">
        <v>2</v>
      </c>
      <c r="C12" s="332"/>
      <c r="D12" s="332"/>
      <c r="E12" s="333"/>
      <c r="F12" s="295"/>
      <c r="G12" s="296"/>
      <c r="H12" s="1"/>
      <c r="I12" s="1"/>
      <c r="J12" s="76"/>
      <c r="K12" s="1"/>
    </row>
    <row r="13" spans="1:12" ht="18" thickBot="1">
      <c r="A13" s="1"/>
      <c r="B13" s="1"/>
      <c r="C13" s="1"/>
      <c r="D13" s="1"/>
      <c r="E13" s="1"/>
      <c r="F13" s="215"/>
      <c r="G13" s="11"/>
      <c r="H13" s="11"/>
      <c r="I13" s="11"/>
      <c r="J13" s="15"/>
      <c r="K13" s="16"/>
    </row>
    <row r="14" spans="1:12" ht="18" thickBot="1">
      <c r="A14" s="11"/>
      <c r="B14" s="334" t="s">
        <v>3</v>
      </c>
      <c r="C14" s="335"/>
      <c r="D14" s="336"/>
      <c r="E14" s="17">
        <f>SUM(E15:E17)</f>
        <v>435853.68</v>
      </c>
      <c r="F14" s="264"/>
      <c r="G14" s="331" t="s">
        <v>4</v>
      </c>
      <c r="H14" s="332"/>
      <c r="I14" s="332"/>
      <c r="J14" s="332"/>
      <c r="K14" s="333"/>
      <c r="L14" s="13"/>
    </row>
    <row r="15" spans="1:12">
      <c r="A15" s="1"/>
      <c r="B15" s="337" t="s">
        <v>5</v>
      </c>
      <c r="C15" s="338"/>
      <c r="D15" s="339"/>
      <c r="E15" s="20">
        <f>J16+J17+J18+J19</f>
        <v>298775.69</v>
      </c>
      <c r="F15" s="153"/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33124.200000000004</v>
      </c>
      <c r="F16" s="153"/>
      <c r="G16" s="22">
        <v>33467.26</v>
      </c>
      <c r="H16" s="23" t="s">
        <v>8</v>
      </c>
      <c r="I16" s="24"/>
      <c r="J16" s="25">
        <v>31935.74</v>
      </c>
      <c r="K16" s="26" t="s">
        <v>9</v>
      </c>
      <c r="L16" s="19"/>
    </row>
    <row r="17" spans="1:18">
      <c r="A17" s="1"/>
      <c r="B17" s="352" t="s">
        <v>6</v>
      </c>
      <c r="C17" s="353"/>
      <c r="D17" s="354"/>
      <c r="E17" s="28">
        <f>G16+G17+G18</f>
        <v>103953.79</v>
      </c>
      <c r="F17" s="153">
        <f>E15+E16+E17</f>
        <v>435853.68</v>
      </c>
      <c r="G17" s="22">
        <v>17384.689999999999</v>
      </c>
      <c r="H17" s="29" t="s">
        <v>10</v>
      </c>
      <c r="I17" s="30"/>
      <c r="J17" s="25">
        <v>47562.15</v>
      </c>
      <c r="K17" s="31" t="s">
        <v>10</v>
      </c>
      <c r="L17" s="13"/>
    </row>
    <row r="18" spans="1:18">
      <c r="A18" s="1"/>
      <c r="B18" s="236" t="s">
        <v>187</v>
      </c>
      <c r="C18" s="237"/>
      <c r="D18" s="238"/>
      <c r="E18" s="28">
        <f>+J22</f>
        <v>23147.18</v>
      </c>
      <c r="F18" s="153">
        <v>90000</v>
      </c>
      <c r="G18" s="22">
        <v>53101.84</v>
      </c>
      <c r="H18" s="29" t="s">
        <v>12</v>
      </c>
      <c r="I18" s="30"/>
      <c r="J18" s="25">
        <v>188906.34</v>
      </c>
      <c r="K18" s="31" t="s">
        <v>12</v>
      </c>
      <c r="L18" s="13"/>
      <c r="N18" s="3"/>
    </row>
    <row r="19" spans="1:18">
      <c r="B19" s="379" t="s">
        <v>11</v>
      </c>
      <c r="C19" s="380"/>
      <c r="D19" s="381"/>
      <c r="E19" s="20">
        <f>G29+G31+G30+G28</f>
        <v>14174.71</v>
      </c>
      <c r="F19" s="153">
        <f>+F17-F18</f>
        <v>345853.68</v>
      </c>
      <c r="G19" s="33"/>
      <c r="H19" s="34"/>
      <c r="I19" s="30"/>
      <c r="J19" s="25">
        <v>30371.46</v>
      </c>
      <c r="K19" s="31" t="s">
        <v>14</v>
      </c>
      <c r="N19" s="3"/>
    </row>
    <row r="20" spans="1:18">
      <c r="B20" s="344" t="s">
        <v>13</v>
      </c>
      <c r="C20" s="345"/>
      <c r="D20" s="346"/>
      <c r="E20" s="20">
        <v>18989059.280000001</v>
      </c>
      <c r="F20" s="153"/>
      <c r="G20" s="239"/>
      <c r="H20" s="240"/>
      <c r="I20" s="30"/>
      <c r="J20" s="25"/>
      <c r="K20" s="31"/>
      <c r="L20" s="152"/>
      <c r="N20" s="3"/>
    </row>
    <row r="21" spans="1:18">
      <c r="B21" s="187" t="s">
        <v>15</v>
      </c>
      <c r="C21" s="188"/>
      <c r="D21" s="189"/>
      <c r="E21" s="190">
        <f>SUM(E22:E25)</f>
        <v>0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  <c r="N21" s="268"/>
    </row>
    <row r="22" spans="1:18">
      <c r="B22" s="187"/>
      <c r="C22" s="188"/>
      <c r="D22" s="198"/>
      <c r="E22" s="190">
        <v>0</v>
      </c>
      <c r="F22" s="153"/>
      <c r="G22" s="44">
        <v>24949.24</v>
      </c>
      <c r="H22" s="29" t="s">
        <v>10</v>
      </c>
      <c r="I22" s="30"/>
      <c r="J22" s="25">
        <v>23147.18</v>
      </c>
      <c r="K22" s="31" t="s">
        <v>188</v>
      </c>
      <c r="L22" s="294"/>
      <c r="M22" s="294"/>
    </row>
    <row r="23" spans="1:18">
      <c r="B23" s="187"/>
      <c r="C23" s="188"/>
      <c r="D23" s="198"/>
      <c r="E23" s="190">
        <v>0</v>
      </c>
      <c r="F23" s="153"/>
      <c r="G23" s="44">
        <v>8174.96</v>
      </c>
      <c r="H23" s="29" t="s">
        <v>18</v>
      </c>
      <c r="I23" s="30"/>
      <c r="J23" s="25"/>
      <c r="K23" s="31"/>
      <c r="L23" s="294"/>
      <c r="M23" s="294"/>
    </row>
    <row r="24" spans="1:18" ht="15" thickBot="1">
      <c r="B24" s="187"/>
      <c r="C24" s="188"/>
      <c r="D24" s="198"/>
      <c r="E24" s="190">
        <v>0</v>
      </c>
      <c r="F24" s="153"/>
      <c r="G24" s="51"/>
      <c r="H24" s="34"/>
      <c r="I24" s="30"/>
      <c r="J24" s="210"/>
      <c r="K24" s="53"/>
      <c r="L24" s="294"/>
      <c r="M24" s="294"/>
      <c r="O24" s="235"/>
    </row>
    <row r="25" spans="1:18" ht="15" thickBot="1">
      <c r="B25" s="187"/>
      <c r="C25" s="188"/>
      <c r="D25" s="198"/>
      <c r="E25" s="190">
        <v>0</v>
      </c>
      <c r="F25" s="153"/>
      <c r="G25" s="331" t="s">
        <v>21</v>
      </c>
      <c r="H25" s="332"/>
      <c r="I25" s="332"/>
      <c r="J25" s="332"/>
      <c r="K25" s="333"/>
    </row>
    <row r="26" spans="1:18">
      <c r="B26" s="202" t="s">
        <v>17</v>
      </c>
      <c r="C26" s="203"/>
      <c r="D26" s="204"/>
      <c r="E26" s="234">
        <v>0</v>
      </c>
      <c r="F26" s="220"/>
      <c r="G26" s="54"/>
      <c r="H26" s="55"/>
      <c r="I26" s="56"/>
      <c r="J26" s="211"/>
      <c r="K26" s="58"/>
      <c r="N26" s="290"/>
    </row>
    <row r="27" spans="1:18">
      <c r="B27" s="202" t="s">
        <v>24</v>
      </c>
      <c r="C27" s="203"/>
      <c r="D27" s="204"/>
      <c r="E27" s="234">
        <v>60000</v>
      </c>
      <c r="F27" s="153">
        <f>+F19-E26</f>
        <v>345853.68</v>
      </c>
      <c r="G27" s="377" t="s">
        <v>5</v>
      </c>
      <c r="H27" s="378"/>
      <c r="I27" s="59"/>
      <c r="J27" s="60"/>
      <c r="K27" s="45"/>
      <c r="N27" s="290"/>
      <c r="Q27" s="155"/>
      <c r="R27" s="155"/>
    </row>
    <row r="28" spans="1:18">
      <c r="B28" s="199" t="s">
        <v>22</v>
      </c>
      <c r="C28" s="200"/>
      <c r="D28" s="201"/>
      <c r="E28" s="234">
        <v>0</v>
      </c>
      <c r="F28" s="288">
        <f>SUM(E26:E32)</f>
        <v>60000</v>
      </c>
      <c r="G28" s="22">
        <v>4168.8900000000003</v>
      </c>
      <c r="H28" s="62" t="s">
        <v>9</v>
      </c>
      <c r="I28" s="59"/>
      <c r="J28" s="60"/>
      <c r="K28" s="45"/>
      <c r="N28" s="290"/>
      <c r="P28" s="155"/>
      <c r="R28" s="155"/>
    </row>
    <row r="29" spans="1:18">
      <c r="B29" s="199" t="s">
        <v>25</v>
      </c>
      <c r="C29" s="200"/>
      <c r="D29" s="201"/>
      <c r="E29" s="234">
        <v>0</v>
      </c>
      <c r="F29" s="153">
        <f>+F27-F28</f>
        <v>285853.68</v>
      </c>
      <c r="G29" s="22">
        <v>975.6</v>
      </c>
      <c r="H29" s="62" t="s">
        <v>26</v>
      </c>
      <c r="I29" s="63"/>
      <c r="J29" s="64" t="s">
        <v>27</v>
      </c>
      <c r="K29" s="65" t="s">
        <v>28</v>
      </c>
      <c r="M29" s="291"/>
      <c r="N29" s="292"/>
    </row>
    <row r="30" spans="1:18">
      <c r="B30" s="199" t="s">
        <v>80</v>
      </c>
      <c r="C30" s="200"/>
      <c r="D30" s="201"/>
      <c r="E30" s="49">
        <v>0</v>
      </c>
      <c r="F30" s="221"/>
      <c r="G30" s="67">
        <v>1773.61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1:18" ht="15" thickBot="1">
      <c r="B31" s="344" t="s">
        <v>69</v>
      </c>
      <c r="C31" s="345"/>
      <c r="D31" s="346"/>
      <c r="E31" s="234">
        <v>0</v>
      </c>
      <c r="F31" s="220"/>
      <c r="G31" s="71">
        <v>7256.61</v>
      </c>
      <c r="H31" s="72" t="s">
        <v>12</v>
      </c>
      <c r="I31" s="73"/>
      <c r="J31" s="74" t="s">
        <v>32</v>
      </c>
      <c r="K31" s="75" t="s">
        <v>33</v>
      </c>
    </row>
    <row r="32" spans="1:18" ht="15" thickBot="1">
      <c r="B32" s="363" t="s">
        <v>29</v>
      </c>
      <c r="C32" s="364"/>
      <c r="D32" s="365"/>
      <c r="E32" s="66">
        <v>0</v>
      </c>
      <c r="F32" s="220"/>
      <c r="N32" s="269"/>
      <c r="P32" s="155"/>
      <c r="R32" s="155"/>
    </row>
    <row r="33" spans="2:18">
      <c r="E33" s="61"/>
      <c r="F33" s="219"/>
    </row>
    <row r="34" spans="2:18">
      <c r="E34" s="79"/>
      <c r="H34" s="61"/>
      <c r="I34" s="61"/>
      <c r="J34" s="39"/>
      <c r="K34" s="61"/>
      <c r="N34" s="269"/>
      <c r="P34" s="155"/>
      <c r="R34" s="155"/>
    </row>
    <row r="35" spans="2:18">
      <c r="E35" s="79"/>
      <c r="G35" s="8"/>
      <c r="H35" s="61"/>
      <c r="I35" s="61"/>
      <c r="J35" s="39"/>
      <c r="K35" s="61"/>
    </row>
    <row r="36" spans="2:18">
      <c r="E36" s="79"/>
      <c r="G36" s="8"/>
      <c r="H36" s="13"/>
      <c r="I36" s="61"/>
      <c r="J36" s="13"/>
      <c r="K36" s="83"/>
      <c r="L36" s="61"/>
      <c r="M36" s="61"/>
      <c r="N36" s="269"/>
      <c r="P36" s="155"/>
      <c r="R36" s="155"/>
    </row>
    <row r="37" spans="2:18">
      <c r="B37" s="61"/>
      <c r="C37" s="61"/>
      <c r="D37" s="61"/>
      <c r="E37" s="128" t="s">
        <v>381</v>
      </c>
      <c r="F37" s="298"/>
      <c r="G37" s="181"/>
      <c r="H37" s="161"/>
      <c r="I37" s="197"/>
      <c r="J37" s="13"/>
      <c r="K37" s="83"/>
      <c r="L37" s="61"/>
      <c r="M37" s="61"/>
    </row>
    <row r="38" spans="2:18" s="61" customFormat="1" ht="15" customHeight="1">
      <c r="E38" s="128"/>
      <c r="F38" s="298"/>
      <c r="G38" s="86"/>
      <c r="H38" s="161"/>
      <c r="I38" s="197"/>
      <c r="J38" s="13"/>
      <c r="K38" s="83"/>
      <c r="L38" s="88"/>
      <c r="N38" s="272"/>
      <c r="P38" s="273"/>
      <c r="R38" s="273"/>
    </row>
    <row r="39" spans="2:18" s="61" customFormat="1" ht="15" customHeight="1">
      <c r="E39" s="129" t="s">
        <v>34</v>
      </c>
      <c r="F39" s="298">
        <f>F19</f>
        <v>345853.68</v>
      </c>
      <c r="G39" s="86"/>
      <c r="I39" s="197"/>
      <c r="J39" s="13"/>
      <c r="K39" s="85"/>
      <c r="L39" s="161"/>
      <c r="M39" s="197"/>
    </row>
    <row r="40" spans="2:18" s="61" customFormat="1" ht="15" customHeight="1">
      <c r="E40" s="129" t="s">
        <v>35</v>
      </c>
      <c r="F40" s="298">
        <f>+E19</f>
        <v>14174.71</v>
      </c>
      <c r="G40" s="86"/>
      <c r="I40" s="214"/>
      <c r="J40" s="13"/>
      <c r="K40" s="87"/>
      <c r="L40" s="161"/>
      <c r="M40" s="197"/>
      <c r="N40" s="272"/>
      <c r="P40" s="273"/>
      <c r="R40" s="273"/>
    </row>
    <row r="41" spans="2:18" s="61" customFormat="1" ht="15" customHeight="1">
      <c r="E41" s="129" t="s">
        <v>36</v>
      </c>
      <c r="F41" s="298">
        <v>0</v>
      </c>
      <c r="G41" s="9">
        <v>500000</v>
      </c>
      <c r="I41" s="197"/>
      <c r="J41" s="13"/>
      <c r="M41" s="197"/>
    </row>
    <row r="42" spans="2:18" s="61" customFormat="1" ht="15" customHeight="1">
      <c r="E42" s="129" t="s">
        <v>37</v>
      </c>
      <c r="F42" s="298">
        <v>0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131" t="s">
        <v>38</v>
      </c>
      <c r="F43" s="259">
        <f>SUM(F39:F42)</f>
        <v>360028.39</v>
      </c>
      <c r="G43" s="9"/>
      <c r="H43" s="163"/>
      <c r="I43" s="229"/>
      <c r="J43" s="13"/>
      <c r="M43" s="197"/>
    </row>
    <row r="44" spans="2:18" s="61" customFormat="1" ht="15" customHeight="1">
      <c r="E44" s="133"/>
      <c r="F44" s="260"/>
      <c r="G44" s="9"/>
      <c r="H44" s="165"/>
      <c r="I44" s="230"/>
      <c r="J44" s="13"/>
      <c r="M44" s="197"/>
      <c r="N44" s="272"/>
      <c r="P44" s="273"/>
      <c r="R44" s="273"/>
    </row>
    <row r="45" spans="2:18" s="61" customFormat="1" ht="15" customHeight="1">
      <c r="E45" s="133" t="s">
        <v>152</v>
      </c>
      <c r="F45" s="260">
        <v>185000</v>
      </c>
      <c r="G45" s="9"/>
      <c r="H45" s="165"/>
      <c r="I45" s="230"/>
      <c r="J45" s="13"/>
      <c r="M45" s="197"/>
      <c r="N45" s="272"/>
      <c r="P45" s="273"/>
      <c r="R45" s="273"/>
    </row>
    <row r="46" spans="2:18" s="61" customFormat="1" ht="15" customHeight="1">
      <c r="E46" s="133" t="s">
        <v>116</v>
      </c>
      <c r="F46" s="260">
        <v>0</v>
      </c>
      <c r="G46" s="9"/>
      <c r="H46" s="165"/>
      <c r="I46" s="230"/>
      <c r="J46" s="13"/>
      <c r="L46" s="165"/>
      <c r="M46" s="230"/>
      <c r="N46" s="272"/>
      <c r="P46" s="273"/>
      <c r="R46" s="273"/>
    </row>
    <row r="47" spans="2:18" s="61" customFormat="1" ht="15" customHeight="1">
      <c r="E47" s="133" t="s">
        <v>52</v>
      </c>
      <c r="F47" s="260">
        <v>0</v>
      </c>
      <c r="G47" s="9"/>
      <c r="H47" s="165"/>
      <c r="I47" s="230"/>
      <c r="J47" s="13"/>
    </row>
    <row r="48" spans="2:18" s="61" customFormat="1" ht="15" customHeight="1">
      <c r="E48" s="133" t="s">
        <v>64</v>
      </c>
      <c r="F48" s="260">
        <v>150000</v>
      </c>
      <c r="G48" s="9"/>
      <c r="H48" s="165"/>
      <c r="I48" s="230"/>
      <c r="J48" s="13"/>
    </row>
    <row r="49" spans="2:13" s="61" customFormat="1" ht="15" customHeight="1">
      <c r="E49" s="137" t="s">
        <v>24</v>
      </c>
      <c r="F49" s="251">
        <f>15000+65000</f>
        <v>80000</v>
      </c>
      <c r="G49" s="8"/>
      <c r="H49" s="91"/>
      <c r="I49" s="231"/>
      <c r="J49" s="13"/>
    </row>
    <row r="50" spans="2:13" s="61" customFormat="1" ht="15" customHeight="1">
      <c r="E50" s="137" t="s">
        <v>22</v>
      </c>
      <c r="F50" s="251">
        <v>50000</v>
      </c>
      <c r="G50" s="8"/>
      <c r="H50" s="96"/>
      <c r="I50" s="231"/>
      <c r="J50" s="262"/>
    </row>
    <row r="51" spans="2:13" s="61" customFormat="1">
      <c r="E51" s="137" t="s">
        <v>40</v>
      </c>
      <c r="F51" s="260">
        <v>80000</v>
      </c>
      <c r="G51" s="82"/>
      <c r="H51" s="83"/>
      <c r="I51" s="228"/>
      <c r="J51" s="13"/>
    </row>
    <row r="52" spans="2:13" s="61" customFormat="1">
      <c r="E52" s="139" t="s">
        <v>41</v>
      </c>
      <c r="F52" s="259">
        <f>SUM(F45:F51)</f>
        <v>545000</v>
      </c>
      <c r="G52" s="82"/>
      <c r="H52" s="83"/>
      <c r="I52" s="233"/>
      <c r="J52" s="13"/>
    </row>
    <row r="53" spans="2:13" s="61" customFormat="1">
      <c r="E53" s="139" t="s">
        <v>42</v>
      </c>
      <c r="F53" s="259">
        <f>F43-F52</f>
        <v>-184971.61</v>
      </c>
      <c r="G53" s="82"/>
      <c r="H53" s="83"/>
      <c r="I53" s="233"/>
      <c r="J53" s="13"/>
    </row>
    <row r="54" spans="2:13" s="61" customFormat="1">
      <c r="E54" s="129"/>
      <c r="F54" s="265"/>
      <c r="G54" s="82"/>
      <c r="H54" s="83"/>
      <c r="I54" s="233"/>
      <c r="J54" s="13"/>
      <c r="L54" s="91"/>
      <c r="M54" s="232"/>
    </row>
    <row r="55" spans="2:13" s="61" customFormat="1">
      <c r="E55" s="129" t="s">
        <v>43</v>
      </c>
      <c r="F55" s="265">
        <v>0</v>
      </c>
      <c r="G55" s="82" t="s">
        <v>378</v>
      </c>
      <c r="H55" s="96"/>
      <c r="I55" s="228"/>
      <c r="J55" s="13"/>
      <c r="L55" s="91"/>
      <c r="M55" s="232"/>
    </row>
    <row r="56" spans="2:13" s="61" customFormat="1">
      <c r="E56" s="129" t="s">
        <v>44</v>
      </c>
      <c r="F56" s="265">
        <f>85000-60000</f>
        <v>25000</v>
      </c>
      <c r="G56" s="82" t="s">
        <v>379</v>
      </c>
      <c r="H56" s="96"/>
      <c r="I56" s="228"/>
      <c r="J56" s="13"/>
      <c r="L56" s="91"/>
      <c r="M56" s="232"/>
    </row>
    <row r="57" spans="2:13" s="61" customFormat="1">
      <c r="E57" s="129" t="s">
        <v>380</v>
      </c>
      <c r="F57" s="265">
        <v>0</v>
      </c>
      <c r="G57" s="82"/>
      <c r="H57" s="83"/>
      <c r="I57" s="233"/>
      <c r="J57" s="13"/>
      <c r="L57" s="96"/>
      <c r="M57" s="231"/>
    </row>
    <row r="58" spans="2:13" s="61" customFormat="1">
      <c r="E58" s="129" t="s">
        <v>45</v>
      </c>
      <c r="F58" s="138">
        <v>993098.58</v>
      </c>
      <c r="G58" s="8"/>
      <c r="H58" s="96"/>
      <c r="I58" s="219"/>
      <c r="J58" s="13"/>
      <c r="L58" s="96"/>
      <c r="M58" s="233"/>
    </row>
    <row r="59" spans="2:13" s="61" customFormat="1">
      <c r="E59" s="129" t="s">
        <v>205</v>
      </c>
      <c r="F59" s="138">
        <v>0</v>
      </c>
      <c r="G59" s="8"/>
      <c r="J59" s="13"/>
    </row>
    <row r="60" spans="2:13" s="61" customFormat="1">
      <c r="B60"/>
      <c r="C60"/>
      <c r="D60"/>
      <c r="E60" s="129" t="s">
        <v>206</v>
      </c>
      <c r="F60" s="138">
        <v>1100000</v>
      </c>
      <c r="G60" s="8"/>
      <c r="J60" s="13"/>
      <c r="L60" s="83"/>
      <c r="M60" s="228"/>
    </row>
    <row r="61" spans="2:13">
      <c r="E61" s="139" t="s">
        <v>46</v>
      </c>
      <c r="F61" s="142">
        <f>SUM(F55:F60)</f>
        <v>2118098.58</v>
      </c>
      <c r="G61" s="8"/>
      <c r="L61" s="61"/>
      <c r="M61" s="61"/>
    </row>
    <row r="62" spans="2:13">
      <c r="E62" s="129"/>
      <c r="F62" s="265"/>
      <c r="G62" s="8"/>
      <c r="L62" s="61"/>
      <c r="M62" s="61"/>
    </row>
    <row r="63" spans="2:13">
      <c r="E63" s="118" t="s">
        <v>47</v>
      </c>
      <c r="F63" s="120">
        <f>F53-F61</f>
        <v>-2303070.19</v>
      </c>
      <c r="G63" s="8"/>
    </row>
    <row r="64" spans="2:13">
      <c r="D64" s="247" t="s">
        <v>192</v>
      </c>
      <c r="E64" s="61"/>
      <c r="F64" s="219"/>
      <c r="G64" s="8"/>
    </row>
    <row r="65" spans="1:7">
      <c r="D65" s="247" t="s">
        <v>194</v>
      </c>
      <c r="E65" s="61"/>
      <c r="F65" s="219"/>
      <c r="G65" s="8"/>
    </row>
    <row r="66" spans="1:7">
      <c r="D66" s="8" t="s">
        <v>9</v>
      </c>
      <c r="E66" s="61"/>
      <c r="F66" s="219"/>
      <c r="G66" s="124">
        <f>SUM(E74:F74)</f>
        <v>0</v>
      </c>
    </row>
    <row r="67" spans="1:7">
      <c r="D67" s="8" t="s">
        <v>195</v>
      </c>
      <c r="E67" s="8"/>
      <c r="F67" s="220"/>
      <c r="G67" s="8"/>
    </row>
    <row r="68" spans="1:7">
      <c r="D68" s="8" t="s">
        <v>188</v>
      </c>
      <c r="E68" s="247"/>
      <c r="F68" s="247"/>
      <c r="G68" s="8"/>
    </row>
    <row r="69" spans="1:7">
      <c r="D69" s="8"/>
      <c r="E69" s="247"/>
      <c r="F69" s="248"/>
    </row>
    <row r="70" spans="1:7">
      <c r="E70" s="249"/>
      <c r="F70" s="246"/>
    </row>
    <row r="71" spans="1:7">
      <c r="E71" s="249"/>
      <c r="F71" s="287"/>
    </row>
    <row r="72" spans="1:7">
      <c r="E72" s="249"/>
      <c r="F72" s="287"/>
    </row>
    <row r="73" spans="1:7">
      <c r="E73" s="124"/>
      <c r="F73" s="287"/>
    </row>
    <row r="74" spans="1:7">
      <c r="E74" s="8"/>
    </row>
    <row r="75" spans="1:7">
      <c r="E75" s="8"/>
    </row>
    <row r="76" spans="1:7">
      <c r="A76" s="268"/>
      <c r="E76" s="8"/>
    </row>
    <row r="77" spans="1:7">
      <c r="E77" s="8"/>
    </row>
    <row r="78" spans="1:7">
      <c r="B78" s="235"/>
      <c r="E78" s="8"/>
    </row>
    <row r="79" spans="1:7">
      <c r="E79" s="8"/>
    </row>
    <row r="80" spans="1:7">
      <c r="E80" s="293"/>
    </row>
    <row r="81" spans="1:5">
      <c r="C81" s="155"/>
      <c r="E81" s="8"/>
    </row>
    <row r="82" spans="1:5">
      <c r="A82" s="269"/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93"/>
    </row>
    <row r="111" spans="1:5">
      <c r="C111" s="155"/>
      <c r="E111" s="8"/>
    </row>
    <row r="112" spans="1:5">
      <c r="A112" s="269"/>
      <c r="E112" s="277"/>
    </row>
    <row r="113" spans="1:5">
      <c r="C113" s="155"/>
      <c r="E113" s="79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  <c r="E123" s="79"/>
    </row>
    <row r="124" spans="1:5">
      <c r="A124" s="269"/>
      <c r="E124" s="277"/>
    </row>
    <row r="125" spans="1:5">
      <c r="C125" s="155"/>
    </row>
    <row r="126" spans="1:5">
      <c r="A126" s="269"/>
      <c r="E126" s="155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C199" s="155"/>
    </row>
    <row r="200" spans="1:5">
      <c r="A200" s="269"/>
      <c r="E200" s="155"/>
    </row>
    <row r="201" spans="1:5">
      <c r="D201" s="155"/>
    </row>
    <row r="202" spans="1:5">
      <c r="A202" s="269"/>
      <c r="E202" s="155"/>
    </row>
    <row r="203" spans="1:5">
      <c r="C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5">
      <c r="C209" s="155"/>
    </row>
    <row r="210" spans="1:5">
      <c r="A210" s="269"/>
      <c r="E210" s="155"/>
    </row>
    <row r="211" spans="1:5">
      <c r="C211" s="155"/>
    </row>
    <row r="212" spans="1:5">
      <c r="A212" s="269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3DCC7-3567-4843-A9E6-4DE76933F385}">
  <dimension ref="A6:R212"/>
  <sheetViews>
    <sheetView showGridLines="0" topLeftCell="A14" workbookViewId="0">
      <selection activeCell="A14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</row>
    <row r="12" spans="1:12" ht="19" thickBot="1">
      <c r="A12" s="1"/>
      <c r="B12" s="331" t="s">
        <v>2</v>
      </c>
      <c r="C12" s="332"/>
      <c r="D12" s="332"/>
      <c r="E12" s="333"/>
      <c r="F12" s="295"/>
      <c r="G12" s="296"/>
      <c r="H12" s="1"/>
      <c r="I12" s="1"/>
      <c r="J12" s="76"/>
      <c r="K12" s="1"/>
    </row>
    <row r="13" spans="1:12" ht="18" thickBot="1">
      <c r="A13" s="1"/>
      <c r="B13" s="1"/>
      <c r="C13" s="1"/>
      <c r="D13" s="1"/>
      <c r="E13" s="1"/>
      <c r="F13" s="215"/>
      <c r="G13" s="11"/>
      <c r="H13" s="11"/>
      <c r="I13" s="11"/>
      <c r="J13" s="15"/>
      <c r="K13" s="16"/>
    </row>
    <row r="14" spans="1:12" ht="18" thickBot="1">
      <c r="A14" s="11"/>
      <c r="B14" s="334" t="s">
        <v>3</v>
      </c>
      <c r="C14" s="335"/>
      <c r="D14" s="336"/>
      <c r="E14" s="17">
        <f>SUM(E15:E17)</f>
        <v>509423.69</v>
      </c>
      <c r="F14" s="264"/>
      <c r="G14" s="331" t="s">
        <v>4</v>
      </c>
      <c r="H14" s="332"/>
      <c r="I14" s="332"/>
      <c r="J14" s="332"/>
      <c r="K14" s="333"/>
      <c r="L14" s="13"/>
    </row>
    <row r="15" spans="1:12">
      <c r="A15" s="1"/>
      <c r="B15" s="337" t="s">
        <v>5</v>
      </c>
      <c r="C15" s="338"/>
      <c r="D15" s="339"/>
      <c r="E15" s="20">
        <f>J16+J17+J18+J19</f>
        <v>372345.7</v>
      </c>
      <c r="F15" s="153"/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33124.200000000004</v>
      </c>
      <c r="F16" s="153"/>
      <c r="G16" s="22">
        <v>33467.26</v>
      </c>
      <c r="H16" s="23" t="s">
        <v>8</v>
      </c>
      <c r="I16" s="24"/>
      <c r="J16" s="25">
        <v>31935.74</v>
      </c>
      <c r="K16" s="26" t="s">
        <v>9</v>
      </c>
      <c r="L16" s="19"/>
    </row>
    <row r="17" spans="1:18">
      <c r="A17" s="1"/>
      <c r="B17" s="352" t="s">
        <v>6</v>
      </c>
      <c r="C17" s="353"/>
      <c r="D17" s="354"/>
      <c r="E17" s="28">
        <f>G16+G17+G18</f>
        <v>103953.79</v>
      </c>
      <c r="F17" s="153">
        <f>E15+E16+E17</f>
        <v>509423.69</v>
      </c>
      <c r="G17" s="22">
        <v>17384.689999999999</v>
      </c>
      <c r="H17" s="29" t="s">
        <v>10</v>
      </c>
      <c r="I17" s="30"/>
      <c r="J17" s="25">
        <v>30301.11</v>
      </c>
      <c r="K17" s="31" t="s">
        <v>10</v>
      </c>
      <c r="L17" s="13"/>
    </row>
    <row r="18" spans="1:18">
      <c r="A18" s="1"/>
      <c r="B18" s="236" t="s">
        <v>187</v>
      </c>
      <c r="C18" s="237"/>
      <c r="D18" s="238"/>
      <c r="E18" s="28">
        <f>+J22</f>
        <v>23147.18</v>
      </c>
      <c r="F18" s="153">
        <v>90000</v>
      </c>
      <c r="G18" s="22">
        <v>53101.84</v>
      </c>
      <c r="H18" s="29" t="s">
        <v>12</v>
      </c>
      <c r="I18" s="30"/>
      <c r="J18" s="25">
        <v>134177.95000000001</v>
      </c>
      <c r="K18" s="31" t="s">
        <v>12</v>
      </c>
      <c r="L18" s="13"/>
      <c r="N18" s="3"/>
    </row>
    <row r="19" spans="1:18">
      <c r="B19" s="379" t="s">
        <v>11</v>
      </c>
      <c r="C19" s="380"/>
      <c r="D19" s="381"/>
      <c r="E19" s="20">
        <f>G29+G31+G30+G28</f>
        <v>1014344.8</v>
      </c>
      <c r="F19" s="153">
        <f>+F17-F18</f>
        <v>419423.69</v>
      </c>
      <c r="G19" s="33"/>
      <c r="H19" s="34"/>
      <c r="I19" s="30"/>
      <c r="J19" s="25">
        <v>175930.9</v>
      </c>
      <c r="K19" s="31" t="s">
        <v>14</v>
      </c>
      <c r="N19" s="3"/>
    </row>
    <row r="20" spans="1:18">
      <c r="B20" s="344" t="s">
        <v>13</v>
      </c>
      <c r="C20" s="345"/>
      <c r="D20" s="346"/>
      <c r="E20" s="20">
        <v>17742852.66</v>
      </c>
      <c r="F20" s="153"/>
      <c r="G20" s="239"/>
      <c r="H20" s="240"/>
      <c r="I20" s="30"/>
      <c r="J20" s="25"/>
      <c r="K20" s="31"/>
      <c r="L20" s="152"/>
      <c r="N20" s="3"/>
    </row>
    <row r="21" spans="1:18">
      <c r="B21" s="187" t="s">
        <v>15</v>
      </c>
      <c r="C21" s="188"/>
      <c r="D21" s="189"/>
      <c r="E21" s="190">
        <f>SUM(E22:E25)</f>
        <v>1205702.0099999998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  <c r="N21" s="268"/>
    </row>
    <row r="22" spans="1:18">
      <c r="B22" s="187"/>
      <c r="C22" s="188"/>
      <c r="D22" s="198" t="s">
        <v>382</v>
      </c>
      <c r="E22" s="190">
        <v>102262.64</v>
      </c>
      <c r="F22" s="153"/>
      <c r="G22" s="44">
        <v>24949.24</v>
      </c>
      <c r="H22" s="29" t="s">
        <v>10</v>
      </c>
      <c r="I22" s="30"/>
      <c r="J22" s="25">
        <v>23147.18</v>
      </c>
      <c r="K22" s="31" t="s">
        <v>188</v>
      </c>
      <c r="L22" s="294"/>
      <c r="M22" s="294"/>
    </row>
    <row r="23" spans="1:18">
      <c r="B23" s="187"/>
      <c r="C23" s="188"/>
      <c r="D23" s="198" t="s">
        <v>382</v>
      </c>
      <c r="E23" s="190">
        <v>1042738.96</v>
      </c>
      <c r="F23" s="153"/>
      <c r="G23" s="44">
        <v>8174.96</v>
      </c>
      <c r="H23" s="29" t="s">
        <v>18</v>
      </c>
      <c r="I23" s="30"/>
      <c r="J23" s="25"/>
      <c r="K23" s="31"/>
      <c r="L23" s="294"/>
      <c r="M23" s="294"/>
    </row>
    <row r="24" spans="1:18" ht="15" thickBot="1">
      <c r="B24" s="187"/>
      <c r="C24" s="188"/>
      <c r="D24" s="198" t="s">
        <v>382</v>
      </c>
      <c r="E24" s="190">
        <v>60700.41</v>
      </c>
      <c r="F24" s="153"/>
      <c r="G24" s="51"/>
      <c r="H24" s="34"/>
      <c r="I24" s="30"/>
      <c r="J24" s="210"/>
      <c r="K24" s="53"/>
      <c r="L24" s="294"/>
      <c r="M24" s="294"/>
      <c r="O24" s="235"/>
    </row>
    <row r="25" spans="1:18" ht="15" thickBot="1">
      <c r="B25" s="187"/>
      <c r="C25" s="188"/>
      <c r="D25" s="198"/>
      <c r="E25" s="190">
        <v>0</v>
      </c>
      <c r="F25" s="153"/>
      <c r="G25" s="331" t="s">
        <v>21</v>
      </c>
      <c r="H25" s="332"/>
      <c r="I25" s="332"/>
      <c r="J25" s="332"/>
      <c r="K25" s="333"/>
    </row>
    <row r="26" spans="1:18">
      <c r="B26" s="202" t="s">
        <v>17</v>
      </c>
      <c r="C26" s="203"/>
      <c r="D26" s="204"/>
      <c r="E26" s="234">
        <v>50000</v>
      </c>
      <c r="F26" s="220"/>
      <c r="G26" s="54"/>
      <c r="H26" s="55"/>
      <c r="I26" s="56"/>
      <c r="J26" s="211"/>
      <c r="K26" s="58"/>
      <c r="N26" s="290"/>
    </row>
    <row r="27" spans="1:18">
      <c r="B27" s="202" t="s">
        <v>89</v>
      </c>
      <c r="C27" s="203"/>
      <c r="D27" s="204"/>
      <c r="E27" s="234">
        <v>200000</v>
      </c>
      <c r="F27" s="153">
        <f>+F19-E26</f>
        <v>369423.69</v>
      </c>
      <c r="G27" s="377" t="s">
        <v>5</v>
      </c>
      <c r="H27" s="378"/>
      <c r="I27" s="59"/>
      <c r="J27" s="60"/>
      <c r="K27" s="45"/>
      <c r="N27" s="290"/>
      <c r="Q27" s="155"/>
      <c r="R27" s="155"/>
    </row>
    <row r="28" spans="1:18">
      <c r="B28" s="199" t="s">
        <v>22</v>
      </c>
      <c r="C28" s="200"/>
      <c r="D28" s="201"/>
      <c r="E28" s="234">
        <v>39936.6</v>
      </c>
      <c r="F28" s="288">
        <f>SUM(E26:E32)</f>
        <v>292436.59999999998</v>
      </c>
      <c r="G28" s="22">
        <v>4168.8900000000003</v>
      </c>
      <c r="H28" s="62" t="s">
        <v>9</v>
      </c>
      <c r="I28" s="59"/>
      <c r="J28" s="60"/>
      <c r="K28" s="45"/>
      <c r="N28" s="290"/>
      <c r="P28" s="155"/>
      <c r="R28" s="155"/>
    </row>
    <row r="29" spans="1:18">
      <c r="B29" s="199" t="s">
        <v>24</v>
      </c>
      <c r="C29" s="200"/>
      <c r="D29" s="201"/>
      <c r="E29" s="234">
        <v>2500</v>
      </c>
      <c r="F29" s="153">
        <f>+F27-F28</f>
        <v>76987.090000000026</v>
      </c>
      <c r="G29" s="22">
        <v>1001143.11</v>
      </c>
      <c r="H29" s="62" t="s">
        <v>26</v>
      </c>
      <c r="I29" s="63"/>
      <c r="J29" s="64" t="s">
        <v>27</v>
      </c>
      <c r="K29" s="65" t="s">
        <v>28</v>
      </c>
      <c r="M29" s="291"/>
      <c r="N29" s="292"/>
    </row>
    <row r="30" spans="1:18">
      <c r="B30" s="199" t="s">
        <v>80</v>
      </c>
      <c r="C30" s="200"/>
      <c r="D30" s="201"/>
      <c r="E30" s="49">
        <v>0</v>
      </c>
      <c r="F30" s="221"/>
      <c r="G30" s="67">
        <v>1774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1:18" ht="15" thickBot="1">
      <c r="B31" s="344" t="s">
        <v>69</v>
      </c>
      <c r="C31" s="345"/>
      <c r="D31" s="346"/>
      <c r="E31" s="234">
        <v>0</v>
      </c>
      <c r="F31" s="220"/>
      <c r="G31" s="71">
        <v>7258.8</v>
      </c>
      <c r="H31" s="72" t="s">
        <v>12</v>
      </c>
      <c r="I31" s="73"/>
      <c r="J31" s="74" t="s">
        <v>32</v>
      </c>
      <c r="K31" s="75" t="s">
        <v>33</v>
      </c>
    </row>
    <row r="32" spans="1:18" ht="15" thickBot="1">
      <c r="B32" s="363" t="s">
        <v>29</v>
      </c>
      <c r="C32" s="364"/>
      <c r="D32" s="365"/>
      <c r="E32" s="66">
        <v>0</v>
      </c>
      <c r="F32" s="220"/>
      <c r="N32" s="269"/>
      <c r="P32" s="155"/>
      <c r="R32" s="155"/>
    </row>
    <row r="33" spans="2:18">
      <c r="E33" s="61"/>
      <c r="F33" s="219"/>
    </row>
    <row r="34" spans="2:18">
      <c r="E34" s="79"/>
      <c r="H34" s="61"/>
      <c r="I34" s="61"/>
      <c r="J34" s="39"/>
      <c r="K34" s="61"/>
      <c r="N34" s="269"/>
      <c r="P34" s="155"/>
      <c r="R34" s="155"/>
    </row>
    <row r="35" spans="2:18">
      <c r="E35" s="79"/>
      <c r="G35" s="8"/>
      <c r="H35" s="61"/>
      <c r="I35" s="61"/>
      <c r="J35" s="39"/>
      <c r="K35" s="61"/>
    </row>
    <row r="36" spans="2:18">
      <c r="E36" s="8"/>
      <c r="F36" s="220"/>
      <c r="G36" s="8"/>
      <c r="H36" s="13"/>
      <c r="I36" s="61"/>
      <c r="J36" s="13"/>
      <c r="K36" s="83"/>
      <c r="L36" s="61"/>
      <c r="M36" s="61"/>
      <c r="N36" s="269"/>
      <c r="P36" s="155"/>
      <c r="R36" s="155"/>
    </row>
    <row r="37" spans="2:18">
      <c r="B37" s="61"/>
      <c r="C37" s="61"/>
      <c r="D37" s="61"/>
      <c r="E37" s="110" t="s">
        <v>381</v>
      </c>
      <c r="F37" s="299"/>
      <c r="G37" s="181"/>
      <c r="H37" s="161"/>
      <c r="I37" s="197"/>
      <c r="J37" s="13"/>
      <c r="K37" s="83"/>
      <c r="L37" s="61"/>
      <c r="M37" s="61"/>
    </row>
    <row r="38" spans="2:18" s="61" customFormat="1" ht="15" customHeight="1">
      <c r="E38" s="110"/>
      <c r="F38" s="299"/>
      <c r="G38" s="86"/>
      <c r="H38" s="161"/>
      <c r="I38" s="197"/>
      <c r="J38" s="13"/>
      <c r="K38" s="83"/>
      <c r="L38" s="88"/>
      <c r="N38" s="272"/>
      <c r="P38" s="273"/>
      <c r="R38" s="273"/>
    </row>
    <row r="39" spans="2:18" s="61" customFormat="1" ht="15" customHeight="1">
      <c r="E39" s="82" t="s">
        <v>34</v>
      </c>
      <c r="F39" s="299">
        <f>F19</f>
        <v>419423.69</v>
      </c>
      <c r="G39" s="86"/>
      <c r="I39" s="197"/>
      <c r="J39" s="13"/>
      <c r="K39" s="85"/>
      <c r="L39" s="161"/>
      <c r="M39" s="197"/>
    </row>
    <row r="40" spans="2:18" s="61" customFormat="1" ht="15" customHeight="1">
      <c r="E40" s="82" t="s">
        <v>35</v>
      </c>
      <c r="F40" s="299">
        <f>+E19</f>
        <v>1014344.8</v>
      </c>
      <c r="G40" s="86"/>
      <c r="I40" s="214"/>
      <c r="J40" s="13"/>
      <c r="K40" s="87"/>
      <c r="L40" s="161"/>
      <c r="M40" s="197"/>
      <c r="N40" s="272"/>
      <c r="P40" s="273"/>
      <c r="R40" s="273"/>
    </row>
    <row r="41" spans="2:18" s="61" customFormat="1" ht="15" customHeight="1">
      <c r="E41" s="82" t="s">
        <v>36</v>
      </c>
      <c r="F41" s="299">
        <v>0</v>
      </c>
      <c r="G41" s="9">
        <v>500000</v>
      </c>
      <c r="I41" s="197"/>
      <c r="J41" s="13"/>
      <c r="M41" s="197"/>
    </row>
    <row r="42" spans="2:18" s="61" customFormat="1" ht="15" customHeight="1">
      <c r="E42" s="82" t="s">
        <v>37</v>
      </c>
      <c r="F42" s="299">
        <v>0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112" t="s">
        <v>38</v>
      </c>
      <c r="F43" s="225">
        <f>SUM(F39:F42)</f>
        <v>1433768.49</v>
      </c>
      <c r="G43" s="9"/>
      <c r="H43" s="163"/>
      <c r="I43" s="229"/>
      <c r="J43" s="13"/>
      <c r="M43" s="197"/>
    </row>
    <row r="44" spans="2:18" s="61" customFormat="1" ht="15" customHeight="1">
      <c r="E44" s="113"/>
      <c r="F44" s="226"/>
      <c r="G44" s="9"/>
      <c r="H44" s="165"/>
      <c r="I44" s="230"/>
      <c r="J44" s="13"/>
      <c r="M44" s="197"/>
      <c r="N44" s="272"/>
      <c r="P44" s="273"/>
      <c r="R44" s="273"/>
    </row>
    <row r="45" spans="2:18" s="61" customFormat="1" ht="15" customHeight="1">
      <c r="E45" s="113" t="s">
        <v>152</v>
      </c>
      <c r="F45" s="226">
        <v>185000</v>
      </c>
      <c r="G45" s="9"/>
      <c r="H45" s="165"/>
      <c r="I45" s="230"/>
      <c r="J45" s="13"/>
      <c r="M45" s="197"/>
      <c r="N45" s="272"/>
      <c r="P45" s="273"/>
      <c r="R45" s="273"/>
    </row>
    <row r="46" spans="2:18" s="61" customFormat="1" ht="15" customHeight="1">
      <c r="E46" s="113" t="s">
        <v>116</v>
      </c>
      <c r="F46" s="226">
        <v>0</v>
      </c>
      <c r="G46" s="9"/>
      <c r="H46" s="165"/>
      <c r="I46" s="230"/>
      <c r="J46" s="13"/>
      <c r="L46" s="165"/>
      <c r="M46" s="230"/>
      <c r="N46" s="272"/>
      <c r="P46" s="273"/>
      <c r="R46" s="273"/>
    </row>
    <row r="47" spans="2:18" s="61" customFormat="1" ht="15" customHeight="1">
      <c r="E47" s="113" t="s">
        <v>52</v>
      </c>
      <c r="F47" s="226">
        <v>0</v>
      </c>
      <c r="G47" s="9"/>
      <c r="H47" s="165"/>
      <c r="I47" s="230"/>
      <c r="J47" s="13"/>
    </row>
    <row r="48" spans="2:18" s="61" customFormat="1" ht="15" customHeight="1">
      <c r="E48" s="113" t="s">
        <v>64</v>
      </c>
      <c r="F48" s="226">
        <v>150000</v>
      </c>
      <c r="G48" s="9"/>
      <c r="H48" s="165"/>
      <c r="I48" s="230"/>
      <c r="J48" s="13"/>
    </row>
    <row r="49" spans="2:13" s="61" customFormat="1" ht="15" customHeight="1">
      <c r="E49" s="116" t="s">
        <v>24</v>
      </c>
      <c r="F49" s="221">
        <v>0</v>
      </c>
      <c r="G49" s="8"/>
      <c r="H49" s="91"/>
      <c r="I49" s="231"/>
      <c r="J49" s="13"/>
    </row>
    <row r="50" spans="2:13" s="61" customFormat="1" ht="15" customHeight="1">
      <c r="E50" s="116" t="s">
        <v>22</v>
      </c>
      <c r="F50" s="221">
        <v>50000</v>
      </c>
      <c r="G50" s="8"/>
      <c r="H50" s="96"/>
      <c r="I50" s="231"/>
      <c r="J50" s="262"/>
    </row>
    <row r="51" spans="2:13" s="61" customFormat="1">
      <c r="E51" s="116" t="s">
        <v>40</v>
      </c>
      <c r="F51" s="226">
        <v>80000</v>
      </c>
      <c r="G51" s="82"/>
      <c r="H51" s="83"/>
      <c r="I51" s="228"/>
      <c r="J51" s="13"/>
    </row>
    <row r="52" spans="2:13" s="61" customFormat="1">
      <c r="E52" s="118" t="s">
        <v>41</v>
      </c>
      <c r="F52" s="225">
        <f>SUM(F45:F51)</f>
        <v>465000</v>
      </c>
      <c r="G52" s="82"/>
      <c r="H52" s="83"/>
      <c r="I52" s="233"/>
      <c r="J52" s="13"/>
    </row>
    <row r="53" spans="2:13" s="61" customFormat="1">
      <c r="E53" s="118" t="s">
        <v>42</v>
      </c>
      <c r="F53" s="225">
        <f>F43-F52</f>
        <v>968768.49</v>
      </c>
      <c r="G53" s="82"/>
      <c r="H53" s="83"/>
      <c r="I53" s="233"/>
      <c r="J53" s="13"/>
    </row>
    <row r="54" spans="2:13" s="61" customFormat="1">
      <c r="E54" s="82"/>
      <c r="F54" s="80"/>
      <c r="G54" s="82"/>
      <c r="H54" s="83"/>
      <c r="I54" s="233"/>
      <c r="J54" s="13"/>
      <c r="L54" s="91"/>
      <c r="M54" s="232"/>
    </row>
    <row r="55" spans="2:13" s="61" customFormat="1">
      <c r="E55" s="82" t="s">
        <v>43</v>
      </c>
      <c r="F55" s="80">
        <v>0</v>
      </c>
      <c r="G55" s="82" t="s">
        <v>378</v>
      </c>
      <c r="H55" s="96"/>
      <c r="I55" s="228"/>
      <c r="J55" s="13"/>
      <c r="L55" s="91"/>
      <c r="M55" s="232"/>
    </row>
    <row r="56" spans="2:13" s="61" customFormat="1">
      <c r="E56" s="82" t="s">
        <v>44</v>
      </c>
      <c r="F56" s="80">
        <f>85000-60000</f>
        <v>25000</v>
      </c>
      <c r="G56" s="82" t="s">
        <v>379</v>
      </c>
      <c r="H56" s="96"/>
      <c r="I56" s="228"/>
      <c r="J56" s="13"/>
      <c r="L56" s="91"/>
      <c r="M56" s="232"/>
    </row>
    <row r="57" spans="2:13" s="61" customFormat="1">
      <c r="E57" s="82" t="s">
        <v>380</v>
      </c>
      <c r="F57" s="80">
        <v>0</v>
      </c>
      <c r="G57" s="82"/>
      <c r="H57" s="83"/>
      <c r="I57" s="233"/>
      <c r="J57" s="13"/>
      <c r="L57" s="96"/>
      <c r="M57" s="231"/>
    </row>
    <row r="58" spans="2:13" s="61" customFormat="1">
      <c r="E58" s="82" t="s">
        <v>45</v>
      </c>
      <c r="F58" s="117">
        <v>993098.58</v>
      </c>
      <c r="G58" s="8"/>
      <c r="H58" s="96"/>
      <c r="I58" s="219"/>
      <c r="J58" s="13"/>
      <c r="L58" s="96"/>
      <c r="M58" s="233"/>
    </row>
    <row r="59" spans="2:13" s="61" customFormat="1">
      <c r="E59" s="82" t="s">
        <v>205</v>
      </c>
      <c r="F59" s="117">
        <v>0</v>
      </c>
      <c r="G59" s="8"/>
      <c r="J59" s="13"/>
    </row>
    <row r="60" spans="2:13" s="61" customFormat="1">
      <c r="B60"/>
      <c r="C60"/>
      <c r="D60"/>
      <c r="E60" s="82" t="s">
        <v>206</v>
      </c>
      <c r="F60" s="117">
        <v>1100000</v>
      </c>
      <c r="G60" s="8"/>
      <c r="J60" s="13"/>
      <c r="L60" s="83"/>
      <c r="M60" s="228"/>
    </row>
    <row r="61" spans="2:13">
      <c r="E61" s="118" t="s">
        <v>46</v>
      </c>
      <c r="F61" s="120">
        <f>SUM(F55:F60)</f>
        <v>2118098.58</v>
      </c>
      <c r="G61" s="8"/>
      <c r="L61" s="61"/>
      <c r="M61" s="61"/>
    </row>
    <row r="62" spans="2:13">
      <c r="E62" s="82"/>
      <c r="F62" s="80"/>
      <c r="G62" s="8"/>
      <c r="L62" s="61"/>
      <c r="M62" s="61"/>
    </row>
    <row r="63" spans="2:13">
      <c r="E63" s="118" t="s">
        <v>47</v>
      </c>
      <c r="F63" s="120">
        <f>F53-F61</f>
        <v>-1149330.0900000001</v>
      </c>
      <c r="G63" s="8"/>
    </row>
    <row r="64" spans="2:13">
      <c r="D64" s="247" t="s">
        <v>192</v>
      </c>
      <c r="E64" s="61"/>
      <c r="F64" s="219"/>
      <c r="G64" s="8"/>
    </row>
    <row r="65" spans="1:7">
      <c r="D65" s="247" t="s">
        <v>194</v>
      </c>
      <c r="E65" s="61"/>
      <c r="F65" s="219"/>
      <c r="G65" s="8"/>
    </row>
    <row r="66" spans="1:7">
      <c r="D66" s="8" t="s">
        <v>9</v>
      </c>
      <c r="E66" s="61"/>
      <c r="F66" s="219"/>
      <c r="G66" s="124">
        <f>SUM(E74:F74)</f>
        <v>0</v>
      </c>
    </row>
    <row r="67" spans="1:7">
      <c r="D67" s="8" t="s">
        <v>195</v>
      </c>
      <c r="E67" s="8"/>
      <c r="F67" s="220"/>
      <c r="G67" s="8"/>
    </row>
    <row r="68" spans="1:7">
      <c r="D68" s="8" t="s">
        <v>188</v>
      </c>
      <c r="E68" s="247"/>
      <c r="F68" s="247"/>
      <c r="G68" s="8"/>
    </row>
    <row r="69" spans="1:7">
      <c r="D69" s="8"/>
      <c r="E69" s="247"/>
      <c r="F69" s="248"/>
    </row>
    <row r="70" spans="1:7">
      <c r="E70" s="249"/>
      <c r="F70" s="246"/>
    </row>
    <row r="71" spans="1:7">
      <c r="E71" s="249"/>
      <c r="F71" s="287"/>
    </row>
    <row r="72" spans="1:7">
      <c r="E72" s="249"/>
      <c r="F72" s="287"/>
    </row>
    <row r="73" spans="1:7">
      <c r="E73" s="124"/>
      <c r="F73" s="287"/>
    </row>
    <row r="74" spans="1:7">
      <c r="E74" s="8"/>
    </row>
    <row r="75" spans="1:7">
      <c r="E75" s="8"/>
    </row>
    <row r="76" spans="1:7">
      <c r="A76" s="268"/>
      <c r="E76" s="8"/>
    </row>
    <row r="77" spans="1:7">
      <c r="E77" s="8"/>
    </row>
    <row r="78" spans="1:7">
      <c r="B78" s="235"/>
      <c r="E78" s="8"/>
    </row>
    <row r="79" spans="1:7">
      <c r="E79" s="8"/>
    </row>
    <row r="80" spans="1:7">
      <c r="E80" s="293"/>
    </row>
    <row r="81" spans="1:5">
      <c r="C81" s="155"/>
      <c r="E81" s="8"/>
    </row>
    <row r="82" spans="1:5">
      <c r="A82" s="269"/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93"/>
    </row>
    <row r="111" spans="1:5">
      <c r="C111" s="155"/>
      <c r="E111" s="8"/>
    </row>
    <row r="112" spans="1:5">
      <c r="A112" s="269"/>
      <c r="E112" s="277"/>
    </row>
    <row r="113" spans="1:5">
      <c r="C113" s="155"/>
      <c r="E113" s="79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  <c r="E123" s="79"/>
    </row>
    <row r="124" spans="1:5">
      <c r="A124" s="269"/>
      <c r="E124" s="277"/>
    </row>
    <row r="125" spans="1:5">
      <c r="C125" s="155"/>
    </row>
    <row r="126" spans="1:5">
      <c r="A126" s="269"/>
      <c r="E126" s="155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C199" s="155"/>
    </row>
    <row r="200" spans="1:5">
      <c r="A200" s="269"/>
      <c r="E200" s="155"/>
    </row>
    <row r="201" spans="1:5">
      <c r="D201" s="155"/>
    </row>
    <row r="202" spans="1:5">
      <c r="A202" s="269"/>
      <c r="E202" s="155"/>
    </row>
    <row r="203" spans="1:5">
      <c r="C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5">
      <c r="C209" s="155"/>
    </row>
    <row r="210" spans="1:5">
      <c r="A210" s="269"/>
      <c r="E210" s="155"/>
    </row>
    <row r="211" spans="1:5">
      <c r="C211" s="155"/>
    </row>
    <row r="212" spans="1:5">
      <c r="A212" s="269"/>
    </row>
  </sheetData>
  <mergeCells count="16"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EA77F-AA0B-4F32-A271-58AA299AFEB6}">
  <dimension ref="B6:P61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79" customWidth="1"/>
    <col min="7" max="7" width="15.7265625" customWidth="1"/>
    <col min="8" max="8" width="19.7265625" customWidth="1"/>
    <col min="9" max="9" width="1.453125" customWidth="1"/>
    <col min="10" max="10" width="24.26953125" customWidth="1"/>
    <col min="11" max="11" width="22.26953125" bestFit="1" customWidth="1"/>
    <col min="12" max="12" width="20.26953125" bestFit="1" customWidth="1"/>
    <col min="13" max="13" width="16.269531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3" s="8" customFormat="1" ht="18">
      <c r="B6" s="5"/>
      <c r="C6" s="5"/>
      <c r="D6" s="5"/>
      <c r="E6" s="6" t="s">
        <v>0</v>
      </c>
      <c r="F6" s="7"/>
      <c r="G6" s="5"/>
      <c r="H6" s="5"/>
      <c r="I6" s="5"/>
      <c r="J6" s="5"/>
      <c r="K6" s="5"/>
    </row>
    <row r="7" spans="2:13">
      <c r="B7" s="1"/>
      <c r="C7" s="1"/>
      <c r="D7" s="1"/>
      <c r="E7" s="1"/>
      <c r="F7" s="2"/>
      <c r="G7" s="1"/>
      <c r="H7" s="1"/>
      <c r="I7" s="1"/>
      <c r="J7" s="1"/>
      <c r="K7" s="1"/>
    </row>
    <row r="8" spans="2:13">
      <c r="B8" s="1"/>
      <c r="C8" s="1"/>
      <c r="D8" s="1"/>
      <c r="E8" s="1"/>
      <c r="F8" s="2"/>
      <c r="G8" s="1"/>
      <c r="H8" s="1"/>
      <c r="I8" s="4"/>
      <c r="J8" s="1"/>
      <c r="K8" s="76"/>
    </row>
    <row r="9" spans="2:13">
      <c r="B9" s="1"/>
      <c r="C9" s="1"/>
      <c r="D9" s="1"/>
      <c r="E9" s="1"/>
      <c r="F9" s="2"/>
      <c r="G9" s="1"/>
      <c r="H9" s="1"/>
      <c r="I9" s="4"/>
      <c r="J9" s="1"/>
      <c r="K9" s="1"/>
    </row>
    <row r="10" spans="2:13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3" ht="15" thickBot="1">
      <c r="B11" s="1"/>
      <c r="C11" s="1"/>
      <c r="D11" s="1"/>
      <c r="E11" s="1"/>
      <c r="F11" s="2"/>
      <c r="G11" s="1"/>
      <c r="H11" s="1"/>
      <c r="I11" s="1"/>
      <c r="J11" s="1"/>
      <c r="K11" s="1"/>
    </row>
    <row r="12" spans="2:13" ht="18" thickBot="1">
      <c r="B12" s="331" t="s">
        <v>2</v>
      </c>
      <c r="C12" s="332"/>
      <c r="D12" s="332"/>
      <c r="E12" s="333"/>
      <c r="F12" s="12"/>
      <c r="G12" s="1"/>
      <c r="H12" s="1"/>
      <c r="I12" s="1"/>
      <c r="J12" s="1"/>
      <c r="K12" s="1"/>
      <c r="L12" s="13"/>
      <c r="M12" t="s">
        <v>20</v>
      </c>
    </row>
    <row r="13" spans="2:13" ht="18" thickBot="1">
      <c r="B13" s="1"/>
      <c r="C13" s="1"/>
      <c r="D13" s="1"/>
      <c r="E13" s="1"/>
      <c r="F13" s="123"/>
      <c r="G13" s="11"/>
      <c r="H13" s="11"/>
      <c r="I13" s="11"/>
      <c r="J13" s="15"/>
      <c r="K13" s="16"/>
      <c r="L13" s="13"/>
    </row>
    <row r="14" spans="2:13" ht="15" thickBot="1">
      <c r="B14" s="334" t="s">
        <v>3</v>
      </c>
      <c r="C14" s="335"/>
      <c r="D14" s="336"/>
      <c r="E14" s="17">
        <f>SUM(E15:E17)</f>
        <v>241844.59</v>
      </c>
      <c r="F14" s="18"/>
      <c r="G14" s="331" t="s">
        <v>4</v>
      </c>
      <c r="H14" s="332"/>
      <c r="I14" s="332"/>
      <c r="J14" s="332"/>
      <c r="K14" s="333"/>
      <c r="L14" s="19"/>
    </row>
    <row r="15" spans="2:13">
      <c r="B15" s="337" t="s">
        <v>5</v>
      </c>
      <c r="C15" s="338"/>
      <c r="D15" s="339"/>
      <c r="E15" s="20">
        <f>J16+J17+J18+J19</f>
        <v>122244.45</v>
      </c>
      <c r="F15" s="108">
        <f>E15+E16+E17</f>
        <v>241844.59</v>
      </c>
      <c r="G15" s="340" t="s">
        <v>6</v>
      </c>
      <c r="H15" s="341"/>
      <c r="I15" s="21"/>
      <c r="J15" s="342" t="s">
        <v>5</v>
      </c>
      <c r="K15" s="343"/>
      <c r="L15" s="13"/>
    </row>
    <row r="16" spans="2:13">
      <c r="B16" s="349" t="s">
        <v>7</v>
      </c>
      <c r="C16" s="350"/>
      <c r="D16" s="351"/>
      <c r="E16" s="20">
        <f>G21+G22</f>
        <v>60714.55</v>
      </c>
      <c r="F16" s="108">
        <v>90000</v>
      </c>
      <c r="G16" s="22">
        <v>14296.79</v>
      </c>
      <c r="H16" s="23" t="s">
        <v>8</v>
      </c>
      <c r="I16" s="24"/>
      <c r="J16" s="25">
        <v>11460.98</v>
      </c>
      <c r="K16" s="26" t="s">
        <v>9</v>
      </c>
      <c r="L16" s="13"/>
    </row>
    <row r="17" spans="2:14">
      <c r="B17" s="352" t="s">
        <v>6</v>
      </c>
      <c r="C17" s="353"/>
      <c r="D17" s="354"/>
      <c r="E17" s="28">
        <f>G16+G17+G18</f>
        <v>58885.59</v>
      </c>
      <c r="F17" s="108">
        <f>F15-F16</f>
        <v>151844.59</v>
      </c>
      <c r="G17" s="22">
        <v>22539.42</v>
      </c>
      <c r="H17" s="29" t="s">
        <v>10</v>
      </c>
      <c r="I17" s="30"/>
      <c r="J17" s="25">
        <v>17797.919999999998</v>
      </c>
      <c r="K17" s="31" t="s">
        <v>10</v>
      </c>
      <c r="L17" s="13"/>
    </row>
    <row r="18" spans="2:14">
      <c r="B18" s="355" t="s">
        <v>11</v>
      </c>
      <c r="C18" s="356"/>
      <c r="D18" s="357"/>
      <c r="E18" s="20">
        <f>G28+G30+G29+G27</f>
        <v>120677.37</v>
      </c>
      <c r="F18" s="109"/>
      <c r="G18" s="22">
        <v>22049.38</v>
      </c>
      <c r="H18" s="29" t="s">
        <v>12</v>
      </c>
      <c r="I18" s="30"/>
      <c r="J18" s="25">
        <v>78905.89</v>
      </c>
      <c r="K18" s="31" t="s">
        <v>12</v>
      </c>
      <c r="L18" s="32"/>
    </row>
    <row r="19" spans="2:14">
      <c r="B19" s="344" t="s">
        <v>13</v>
      </c>
      <c r="C19" s="345"/>
      <c r="D19" s="346"/>
      <c r="E19" s="20">
        <v>11996536.189999999</v>
      </c>
      <c r="F19" s="108"/>
      <c r="G19" s="33"/>
      <c r="H19" s="34"/>
      <c r="I19" s="30"/>
      <c r="J19" s="25">
        <v>14079.66</v>
      </c>
      <c r="K19" s="31" t="s">
        <v>14</v>
      </c>
      <c r="L19" s="13"/>
    </row>
    <row r="20" spans="2:14">
      <c r="B20" s="358" t="s">
        <v>15</v>
      </c>
      <c r="C20" s="359"/>
      <c r="D20" s="360"/>
      <c r="E20" s="35">
        <f>SUM(E21:E22)</f>
        <v>0</v>
      </c>
      <c r="F20" s="14"/>
      <c r="G20" s="361" t="s">
        <v>16</v>
      </c>
      <c r="H20" s="362"/>
      <c r="I20" s="36"/>
      <c r="J20" s="37"/>
      <c r="K20" s="38"/>
      <c r="L20" s="39"/>
    </row>
    <row r="21" spans="2:14">
      <c r="B21" s="40"/>
      <c r="C21" s="41"/>
      <c r="D21" s="122"/>
      <c r="E21" s="43">
        <v>0</v>
      </c>
      <c r="F21" s="14"/>
      <c r="G21" s="44">
        <v>14063.16</v>
      </c>
      <c r="H21" s="29" t="s">
        <v>10</v>
      </c>
      <c r="I21" s="30"/>
      <c r="J21" s="37"/>
      <c r="K21" s="45"/>
      <c r="L21" s="39"/>
    </row>
    <row r="22" spans="2:14">
      <c r="B22" s="40"/>
      <c r="C22" s="41"/>
      <c r="D22" s="122"/>
      <c r="E22" s="43">
        <v>0</v>
      </c>
      <c r="F22" s="14"/>
      <c r="G22" s="44">
        <v>46651.39</v>
      </c>
      <c r="H22" s="29" t="s">
        <v>18</v>
      </c>
      <c r="I22" s="30"/>
      <c r="J22" s="50"/>
      <c r="K22" s="38"/>
      <c r="L22" s="39"/>
    </row>
    <row r="23" spans="2:14" ht="15" thickBot="1">
      <c r="B23" s="46" t="s">
        <v>17</v>
      </c>
      <c r="C23" s="47"/>
      <c r="D23" s="48"/>
      <c r="E23" s="49">
        <v>0</v>
      </c>
      <c r="F23" s="14"/>
      <c r="G23" s="51"/>
      <c r="H23" s="34"/>
      <c r="I23" s="30"/>
      <c r="J23" s="52"/>
      <c r="K23" s="53"/>
      <c r="L23" s="39"/>
      <c r="N23" t="s">
        <v>20</v>
      </c>
    </row>
    <row r="24" spans="2:14" ht="15" thickBot="1">
      <c r="B24" s="366" t="s">
        <v>89</v>
      </c>
      <c r="C24" s="367"/>
      <c r="D24" s="368"/>
      <c r="E24" s="49">
        <v>75000</v>
      </c>
      <c r="F24" s="8"/>
      <c r="G24" s="331" t="s">
        <v>21</v>
      </c>
      <c r="H24" s="332"/>
      <c r="I24" s="332"/>
      <c r="J24" s="332"/>
      <c r="K24" s="333"/>
      <c r="L24" s="39"/>
    </row>
    <row r="25" spans="2:14">
      <c r="B25" s="344" t="s">
        <v>78</v>
      </c>
      <c r="C25" s="345"/>
      <c r="D25" s="346"/>
      <c r="E25" s="49">
        <v>0</v>
      </c>
      <c r="F25" s="8"/>
      <c r="G25" s="54"/>
      <c r="H25" s="55"/>
      <c r="I25" s="56"/>
      <c r="J25" s="57"/>
      <c r="K25" s="58"/>
      <c r="L25" s="39"/>
    </row>
    <row r="26" spans="2:14">
      <c r="B26" s="344" t="s">
        <v>22</v>
      </c>
      <c r="C26" s="345"/>
      <c r="D26" s="346"/>
      <c r="E26" s="49">
        <v>0</v>
      </c>
      <c r="F26" s="8"/>
      <c r="G26" s="347" t="s">
        <v>5</v>
      </c>
      <c r="H26" s="348"/>
      <c r="I26" s="59"/>
      <c r="J26" s="60"/>
      <c r="K26" s="45"/>
      <c r="L26" s="61"/>
    </row>
    <row r="27" spans="2:14">
      <c r="B27" s="344" t="s">
        <v>81</v>
      </c>
      <c r="C27" s="345"/>
      <c r="D27" s="346"/>
      <c r="E27" s="49">
        <v>1125000</v>
      </c>
      <c r="F27" s="14">
        <v>0</v>
      </c>
      <c r="G27" s="22">
        <f>11585.75-11500</f>
        <v>85.75</v>
      </c>
      <c r="H27" s="62" t="s">
        <v>9</v>
      </c>
      <c r="I27" s="59"/>
      <c r="J27" s="60"/>
      <c r="K27" s="45"/>
      <c r="L27" s="61"/>
    </row>
    <row r="28" spans="2:14">
      <c r="B28" s="344" t="s">
        <v>24</v>
      </c>
      <c r="C28" s="345"/>
      <c r="D28" s="346"/>
      <c r="E28" s="49">
        <v>0</v>
      </c>
      <c r="F28" s="14">
        <v>40000</v>
      </c>
      <c r="G28" s="22">
        <v>42082.02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4">
      <c r="B29" s="344" t="s">
        <v>25</v>
      </c>
      <c r="C29" s="345"/>
      <c r="D29" s="346"/>
      <c r="E29" s="49">
        <v>0</v>
      </c>
      <c r="F29" s="14">
        <v>30000</v>
      </c>
      <c r="G29" s="67">
        <v>31327.1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4" ht="15" thickBot="1">
      <c r="B30" s="363" t="s">
        <v>29</v>
      </c>
      <c r="C30" s="364"/>
      <c r="D30" s="365"/>
      <c r="E30" s="66">
        <v>0</v>
      </c>
      <c r="F30" s="14">
        <v>45000</v>
      </c>
      <c r="G30" s="71">
        <v>47182.5</v>
      </c>
      <c r="H30" s="72" t="s">
        <v>12</v>
      </c>
      <c r="I30" s="73"/>
      <c r="J30" s="74" t="s">
        <v>32</v>
      </c>
      <c r="K30" s="75" t="s">
        <v>33</v>
      </c>
      <c r="L30" s="61"/>
    </row>
    <row r="31" spans="2:14">
      <c r="B31" s="69"/>
      <c r="C31" s="69"/>
      <c r="D31" s="70"/>
      <c r="E31" s="70"/>
      <c r="F31" s="124">
        <f>SUM(F27:F30)</f>
        <v>115000</v>
      </c>
      <c r="G31" s="76"/>
      <c r="H31" s="76"/>
      <c r="I31" s="76"/>
      <c r="J31" s="76"/>
      <c r="K31" s="1"/>
      <c r="L31" s="77"/>
    </row>
    <row r="34" spans="5:7">
      <c r="E34" s="110" t="s">
        <v>86</v>
      </c>
      <c r="F34" s="110"/>
    </row>
    <row r="35" spans="5:7">
      <c r="E35" s="110"/>
      <c r="F35" s="110"/>
    </row>
    <row r="36" spans="5:7">
      <c r="E36" s="82" t="s">
        <v>34</v>
      </c>
      <c r="F36" s="86">
        <f>F17</f>
        <v>151844.59</v>
      </c>
    </row>
    <row r="37" spans="5:7">
      <c r="E37" s="82" t="s">
        <v>35</v>
      </c>
      <c r="F37" s="86">
        <f>+F31</f>
        <v>115000</v>
      </c>
    </row>
    <row r="38" spans="5:7" s="61" customFormat="1" ht="15" customHeight="1">
      <c r="E38" s="82" t="s">
        <v>36</v>
      </c>
      <c r="F38" s="86">
        <v>0</v>
      </c>
      <c r="G38" s="8"/>
    </row>
    <row r="39" spans="5:7" s="61" customFormat="1" ht="15" customHeight="1">
      <c r="E39" s="82" t="s">
        <v>37</v>
      </c>
      <c r="F39" s="86">
        <v>0</v>
      </c>
      <c r="G39" s="86"/>
    </row>
    <row r="40" spans="5:7" s="61" customFormat="1" ht="15" customHeight="1">
      <c r="E40" s="112" t="s">
        <v>38</v>
      </c>
      <c r="F40" s="111">
        <f>SUM(F36:F39)</f>
        <v>266844.58999999997</v>
      </c>
      <c r="G40" s="86"/>
    </row>
    <row r="41" spans="5:7" s="61" customFormat="1" ht="15" customHeight="1">
      <c r="E41" s="113"/>
      <c r="F41" s="94"/>
      <c r="G41" s="86"/>
    </row>
    <row r="42" spans="5:7" s="61" customFormat="1" ht="15" customHeight="1">
      <c r="E42" s="114" t="s">
        <v>65</v>
      </c>
      <c r="F42" s="94">
        <v>75000</v>
      </c>
      <c r="G42" s="86"/>
    </row>
    <row r="43" spans="5:7" s="61" customFormat="1" ht="15" customHeight="1">
      <c r="E43" s="114" t="s">
        <v>82</v>
      </c>
      <c r="F43" s="94">
        <v>0</v>
      </c>
      <c r="G43" s="9"/>
    </row>
    <row r="44" spans="5:7" s="61" customFormat="1" ht="15" customHeight="1">
      <c r="E44" s="113" t="s">
        <v>67</v>
      </c>
      <c r="F44" s="94">
        <v>0</v>
      </c>
      <c r="G44" s="9"/>
    </row>
    <row r="45" spans="5:7" s="61" customFormat="1" ht="15" customHeight="1">
      <c r="E45" s="115" t="s">
        <v>68</v>
      </c>
      <c r="F45" s="94">
        <v>0</v>
      </c>
      <c r="G45" s="9"/>
    </row>
    <row r="46" spans="5:7" s="61" customFormat="1" ht="15" customHeight="1">
      <c r="E46" s="116" t="s">
        <v>24</v>
      </c>
      <c r="F46" s="117">
        <v>0</v>
      </c>
      <c r="G46" s="94">
        <v>810000</v>
      </c>
    </row>
    <row r="47" spans="5:7" s="61" customFormat="1" ht="15" customHeight="1">
      <c r="E47" s="116" t="s">
        <v>39</v>
      </c>
      <c r="F47" s="117">
        <v>2000</v>
      </c>
      <c r="G47" s="9"/>
    </row>
    <row r="48" spans="5:7" s="61" customFormat="1" ht="15" customHeight="1">
      <c r="E48" s="116" t="s">
        <v>22</v>
      </c>
      <c r="F48" s="117">
        <f>100000+50000-20000</f>
        <v>130000</v>
      </c>
      <c r="G48" s="9"/>
    </row>
    <row r="49" spans="5:7" s="61" customFormat="1" ht="15" customHeight="1">
      <c r="E49" s="116" t="s">
        <v>69</v>
      </c>
      <c r="F49" s="117">
        <v>0</v>
      </c>
      <c r="G49" s="9"/>
    </row>
    <row r="50" spans="5:7" s="61" customFormat="1" ht="15" customHeight="1">
      <c r="E50" s="116" t="s">
        <v>81</v>
      </c>
      <c r="F50" s="117">
        <v>1280279</v>
      </c>
      <c r="G50" s="9"/>
    </row>
    <row r="51" spans="5:7" s="61" customFormat="1" ht="15" customHeight="1">
      <c r="E51" s="116" t="s">
        <v>80</v>
      </c>
      <c r="F51" s="117">
        <v>0</v>
      </c>
      <c r="G51" s="9"/>
    </row>
    <row r="52" spans="5:7" s="61" customFormat="1" ht="15" customHeight="1">
      <c r="E52" s="116" t="s">
        <v>40</v>
      </c>
      <c r="F52" s="94">
        <v>100000</v>
      </c>
      <c r="G52" s="9"/>
    </row>
    <row r="53" spans="5:7" s="61" customFormat="1" ht="15" customHeight="1">
      <c r="E53" s="118" t="s">
        <v>41</v>
      </c>
      <c r="F53" s="119">
        <f>SUM(F42:F52)</f>
        <v>1587279</v>
      </c>
      <c r="G53" s="82"/>
    </row>
    <row r="54" spans="5:7" s="61" customFormat="1" ht="15" customHeight="1">
      <c r="E54" s="118" t="s">
        <v>42</v>
      </c>
      <c r="F54" s="119">
        <f>F40-F53</f>
        <v>-1320434.4100000001</v>
      </c>
      <c r="G54" s="82"/>
    </row>
    <row r="55" spans="5:7" s="61" customFormat="1" ht="15" customHeight="1">
      <c r="E55" s="82"/>
      <c r="F55" s="82"/>
      <c r="G55" s="8"/>
    </row>
    <row r="56" spans="5:7" s="61" customFormat="1">
      <c r="E56" s="82" t="s">
        <v>43</v>
      </c>
      <c r="F56" s="81">
        <f>43800+180000</f>
        <v>223800</v>
      </c>
      <c r="G56" s="8"/>
    </row>
    <row r="57" spans="5:7" s="61" customFormat="1">
      <c r="E57" s="82" t="s">
        <v>44</v>
      </c>
      <c r="F57" s="81">
        <v>100000</v>
      </c>
      <c r="G57" s="8"/>
    </row>
    <row r="58" spans="5:7" s="61" customFormat="1">
      <c r="E58" s="82" t="s">
        <v>45</v>
      </c>
      <c r="F58" s="117">
        <v>0</v>
      </c>
      <c r="G58" s="8"/>
    </row>
    <row r="59" spans="5:7" s="61" customFormat="1">
      <c r="E59" s="118" t="s">
        <v>46</v>
      </c>
      <c r="F59" s="120">
        <f>SUM(F56:F58)</f>
        <v>323800</v>
      </c>
      <c r="G59" s="8"/>
    </row>
    <row r="60" spans="5:7" s="61" customFormat="1">
      <c r="E60" s="82"/>
      <c r="F60" s="82"/>
      <c r="G60" s="8"/>
    </row>
    <row r="61" spans="5:7" s="61" customFormat="1">
      <c r="E61" s="118" t="s">
        <v>47</v>
      </c>
      <c r="F61" s="121">
        <f>F54-F59</f>
        <v>-1644234.4100000001</v>
      </c>
      <c r="G61" s="8"/>
    </row>
  </sheetData>
  <mergeCells count="22">
    <mergeCell ref="B28:D28"/>
    <mergeCell ref="B29:D29"/>
    <mergeCell ref="B30:D30"/>
    <mergeCell ref="B24:D24"/>
    <mergeCell ref="G24:K24"/>
    <mergeCell ref="B25:D25"/>
    <mergeCell ref="B26:D26"/>
    <mergeCell ref="G26:H26"/>
    <mergeCell ref="B27:D27"/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</mergeCells>
  <pageMargins left="0.7" right="0.7" top="0.75" bottom="0.75" header="0.3" footer="0.3"/>
  <drawing r:id="rId1"/>
  <legacy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2FEC1-DF7E-47E1-865E-B73621D0592F}">
  <dimension ref="A6:R215"/>
  <sheetViews>
    <sheetView showGridLines="0" topLeftCell="A26" workbookViewId="0">
      <selection activeCell="A26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</row>
    <row r="12" spans="1:12" ht="19" thickBot="1">
      <c r="A12" s="1"/>
      <c r="B12" s="331" t="s">
        <v>2</v>
      </c>
      <c r="C12" s="332"/>
      <c r="D12" s="332"/>
      <c r="E12" s="333"/>
      <c r="F12" s="295"/>
      <c r="G12" s="296"/>
      <c r="H12" s="1"/>
      <c r="I12" s="1"/>
      <c r="J12" s="76"/>
      <c r="K12" s="1"/>
    </row>
    <row r="13" spans="1:12" ht="18" thickBot="1">
      <c r="A13" s="1"/>
      <c r="B13" s="1"/>
      <c r="C13" s="1"/>
      <c r="D13" s="1"/>
      <c r="E13" s="1"/>
      <c r="F13" s="215"/>
      <c r="G13" s="11"/>
      <c r="H13" s="11"/>
      <c r="I13" s="11"/>
      <c r="J13" s="15"/>
      <c r="K13" s="16"/>
    </row>
    <row r="14" spans="1:12" ht="18" thickBot="1">
      <c r="A14" s="11"/>
      <c r="B14" s="334" t="s">
        <v>3</v>
      </c>
      <c r="C14" s="335"/>
      <c r="D14" s="336"/>
      <c r="E14" s="17">
        <f>SUM(E15:E17)</f>
        <v>686157.52</v>
      </c>
      <c r="F14" s="264"/>
      <c r="G14" s="331" t="s">
        <v>4</v>
      </c>
      <c r="H14" s="332"/>
      <c r="I14" s="332"/>
      <c r="J14" s="332"/>
      <c r="K14" s="333"/>
      <c r="L14" s="13"/>
    </row>
    <row r="15" spans="1:12">
      <c r="A15" s="1"/>
      <c r="B15" s="337" t="s">
        <v>5</v>
      </c>
      <c r="C15" s="338"/>
      <c r="D15" s="339"/>
      <c r="E15" s="20">
        <f>J16+J17+J18+J19</f>
        <v>536473.67000000004</v>
      </c>
      <c r="F15" s="153"/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26462.600000000002</v>
      </c>
      <c r="F16" s="153"/>
      <c r="G16" s="22">
        <v>33467.26</v>
      </c>
      <c r="H16" s="23" t="s">
        <v>8</v>
      </c>
      <c r="I16" s="24"/>
      <c r="J16" s="25">
        <v>53912.26</v>
      </c>
      <c r="K16" s="26" t="s">
        <v>9</v>
      </c>
      <c r="L16" s="19"/>
    </row>
    <row r="17" spans="1:18">
      <c r="A17" s="1"/>
      <c r="B17" s="352" t="s">
        <v>6</v>
      </c>
      <c r="C17" s="353"/>
      <c r="D17" s="354"/>
      <c r="E17" s="28">
        <f>G16+G17+G18</f>
        <v>123221.25</v>
      </c>
      <c r="F17" s="153">
        <f>E15+E16+E17</f>
        <v>686157.52</v>
      </c>
      <c r="G17" s="22">
        <v>46415.15</v>
      </c>
      <c r="H17" s="29" t="s">
        <v>10</v>
      </c>
      <c r="I17" s="30"/>
      <c r="J17" s="25">
        <f>149878.33-100000</f>
        <v>49878.329999999987</v>
      </c>
      <c r="K17" s="31" t="s">
        <v>10</v>
      </c>
      <c r="L17" s="13"/>
    </row>
    <row r="18" spans="1:18">
      <c r="A18" s="1"/>
      <c r="B18" s="236" t="s">
        <v>187</v>
      </c>
      <c r="C18" s="237"/>
      <c r="D18" s="238"/>
      <c r="E18" s="28">
        <f>+J22</f>
        <v>23147.18</v>
      </c>
      <c r="F18" s="153">
        <v>90000</v>
      </c>
      <c r="G18" s="22">
        <v>43338.84</v>
      </c>
      <c r="H18" s="29" t="s">
        <v>12</v>
      </c>
      <c r="I18" s="30"/>
      <c r="J18" s="25">
        <v>407878.9</v>
      </c>
      <c r="K18" s="31" t="s">
        <v>12</v>
      </c>
      <c r="L18" s="13"/>
      <c r="N18" s="3"/>
    </row>
    <row r="19" spans="1:18">
      <c r="B19" s="379" t="s">
        <v>11</v>
      </c>
      <c r="C19" s="380"/>
      <c r="D19" s="381"/>
      <c r="E19" s="20">
        <f>G29+G31+G30+G28</f>
        <v>1044767.68</v>
      </c>
      <c r="F19" s="153">
        <f>+F17-F18</f>
        <v>596157.52</v>
      </c>
      <c r="G19" s="33"/>
      <c r="H19" s="34"/>
      <c r="I19" s="30"/>
      <c r="J19" s="25">
        <v>24804.18</v>
      </c>
      <c r="K19" s="31" t="s">
        <v>14</v>
      </c>
      <c r="N19" s="3"/>
    </row>
    <row r="20" spans="1:18">
      <c r="B20" s="344" t="s">
        <v>13</v>
      </c>
      <c r="C20" s="345"/>
      <c r="D20" s="346"/>
      <c r="E20" s="20">
        <v>18664674.68</v>
      </c>
      <c r="F20" s="153"/>
      <c r="G20" s="239"/>
      <c r="H20" s="240"/>
      <c r="I20" s="30"/>
      <c r="J20" s="25"/>
      <c r="K20" s="31"/>
      <c r="L20" s="152"/>
      <c r="N20" s="3"/>
    </row>
    <row r="21" spans="1:18">
      <c r="B21" s="187" t="s">
        <v>15</v>
      </c>
      <c r="C21" s="188"/>
      <c r="D21" s="189"/>
      <c r="E21" s="190">
        <f>SUM(E22:E25)</f>
        <v>14110.12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  <c r="N21" s="268"/>
    </row>
    <row r="22" spans="1:18">
      <c r="B22" s="187"/>
      <c r="C22" s="188"/>
      <c r="D22" s="300" t="s">
        <v>383</v>
      </c>
      <c r="E22" s="190">
        <v>14110.12</v>
      </c>
      <c r="F22" s="153"/>
      <c r="G22" s="44">
        <v>20030.240000000002</v>
      </c>
      <c r="H22" s="29" t="s">
        <v>10</v>
      </c>
      <c r="I22" s="30"/>
      <c r="J22" s="25">
        <v>23147.18</v>
      </c>
      <c r="K22" s="31" t="s">
        <v>188</v>
      </c>
      <c r="L22" s="294"/>
      <c r="M22" s="294"/>
    </row>
    <row r="23" spans="1:18">
      <c r="B23" s="187"/>
      <c r="C23" s="188"/>
      <c r="D23" s="198"/>
      <c r="E23" s="190">
        <v>0</v>
      </c>
      <c r="F23" s="153"/>
      <c r="G23" s="44">
        <v>6432.36</v>
      </c>
      <c r="H23" s="29" t="s">
        <v>18</v>
      </c>
      <c r="I23" s="30"/>
      <c r="J23" s="25"/>
      <c r="K23" s="31"/>
      <c r="L23" s="294"/>
      <c r="M23" s="294"/>
    </row>
    <row r="24" spans="1:18" ht="15" thickBot="1">
      <c r="B24" s="187"/>
      <c r="C24" s="188"/>
      <c r="D24" s="198"/>
      <c r="E24" s="190">
        <v>0</v>
      </c>
      <c r="F24" s="153"/>
      <c r="G24" s="51"/>
      <c r="H24" s="34"/>
      <c r="I24" s="30"/>
      <c r="J24" s="210"/>
      <c r="K24" s="53"/>
      <c r="L24" s="294"/>
      <c r="M24" s="294"/>
      <c r="O24" s="235"/>
    </row>
    <row r="25" spans="1:18" ht="15" thickBot="1">
      <c r="B25" s="187"/>
      <c r="C25" s="188"/>
      <c r="D25" s="198"/>
      <c r="E25" s="190">
        <v>0</v>
      </c>
      <c r="F25" s="153"/>
      <c r="G25" s="331" t="s">
        <v>21</v>
      </c>
      <c r="H25" s="332"/>
      <c r="I25" s="332"/>
      <c r="J25" s="332"/>
      <c r="K25" s="333"/>
    </row>
    <row r="26" spans="1:18">
      <c r="B26" s="202" t="s">
        <v>17</v>
      </c>
      <c r="C26" s="203"/>
      <c r="D26" s="204"/>
      <c r="E26" s="234">
        <v>110000</v>
      </c>
      <c r="F26" s="220"/>
      <c r="G26" s="54"/>
      <c r="H26" s="55"/>
      <c r="I26" s="56"/>
      <c r="J26" s="211"/>
      <c r="K26" s="58"/>
      <c r="N26" s="290"/>
    </row>
    <row r="27" spans="1:18">
      <c r="B27" s="202" t="s">
        <v>64</v>
      </c>
      <c r="C27" s="203"/>
      <c r="D27" s="204"/>
      <c r="E27" s="234">
        <v>132419</v>
      </c>
      <c r="F27" s="153">
        <f>+F19-E26</f>
        <v>486157.52</v>
      </c>
      <c r="G27" s="377" t="s">
        <v>5</v>
      </c>
      <c r="H27" s="378"/>
      <c r="I27" s="59"/>
      <c r="J27" s="60"/>
      <c r="K27" s="45"/>
      <c r="N27" s="290"/>
      <c r="Q27" s="155"/>
      <c r="R27" s="155"/>
    </row>
    <row r="28" spans="1:18">
      <c r="B28" s="199" t="s">
        <v>22</v>
      </c>
      <c r="C28" s="200"/>
      <c r="D28" s="201"/>
      <c r="E28" s="234">
        <v>0</v>
      </c>
      <c r="F28" s="288">
        <f>SUM(E26:E32)</f>
        <v>242419</v>
      </c>
      <c r="G28" s="22">
        <v>4173.3900000000003</v>
      </c>
      <c r="H28" s="62" t="s">
        <v>9</v>
      </c>
      <c r="I28" s="59"/>
      <c r="J28" s="60"/>
      <c r="K28" s="45"/>
      <c r="N28" s="290"/>
      <c r="P28" s="155"/>
      <c r="R28" s="155"/>
    </row>
    <row r="29" spans="1:18">
      <c r="B29" s="199" t="s">
        <v>24</v>
      </c>
      <c r="C29" s="200"/>
      <c r="D29" s="201"/>
      <c r="E29" s="234">
        <v>0</v>
      </c>
      <c r="F29" s="153">
        <f>+F27-F28</f>
        <v>243738.52000000002</v>
      </c>
      <c r="G29" s="22">
        <f>100000+751486.28</f>
        <v>851486.28</v>
      </c>
      <c r="H29" s="62" t="s">
        <v>26</v>
      </c>
      <c r="I29" s="63"/>
      <c r="J29" s="64" t="s">
        <v>27</v>
      </c>
      <c r="K29" s="65" t="s">
        <v>28</v>
      </c>
      <c r="M29" s="291"/>
      <c r="N29" s="292"/>
    </row>
    <row r="30" spans="1:18">
      <c r="B30" s="199" t="s">
        <v>80</v>
      </c>
      <c r="C30" s="200"/>
      <c r="D30" s="201"/>
      <c r="E30" s="49">
        <v>0</v>
      </c>
      <c r="F30" s="221"/>
      <c r="G30" s="67">
        <v>181849.21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1:18" ht="15" thickBot="1">
      <c r="B31" s="344" t="s">
        <v>69</v>
      </c>
      <c r="C31" s="345"/>
      <c r="D31" s="346"/>
      <c r="E31" s="234">
        <v>0</v>
      </c>
      <c r="F31" s="220"/>
      <c r="G31" s="71">
        <v>7258.8</v>
      </c>
      <c r="H31" s="72" t="s">
        <v>12</v>
      </c>
      <c r="I31" s="73"/>
      <c r="J31" s="74" t="s">
        <v>32</v>
      </c>
      <c r="K31" s="75" t="s">
        <v>33</v>
      </c>
    </row>
    <row r="32" spans="1:18" ht="15" thickBot="1">
      <c r="B32" s="363" t="s">
        <v>29</v>
      </c>
      <c r="C32" s="364"/>
      <c r="D32" s="365"/>
      <c r="E32" s="66">
        <v>0</v>
      </c>
      <c r="F32" s="220"/>
      <c r="N32" s="269"/>
      <c r="P32" s="155"/>
      <c r="R32" s="155"/>
    </row>
    <row r="33" spans="2:18">
      <c r="E33" s="61"/>
      <c r="F33" s="219"/>
    </row>
    <row r="34" spans="2:18">
      <c r="E34" s="61"/>
      <c r="F34" s="219"/>
      <c r="H34" s="61"/>
      <c r="I34" s="61"/>
      <c r="J34" s="39"/>
      <c r="K34" s="61"/>
      <c r="N34" s="269"/>
      <c r="P34" s="155"/>
      <c r="R34" s="155"/>
    </row>
    <row r="35" spans="2:18">
      <c r="E35" s="61"/>
      <c r="F35" s="219"/>
      <c r="G35" s="8"/>
      <c r="H35" s="61"/>
      <c r="I35" s="61"/>
      <c r="J35" s="39"/>
      <c r="K35" s="61"/>
    </row>
    <row r="36" spans="2:18">
      <c r="E36" s="61"/>
      <c r="F36" s="219"/>
      <c r="G36" s="8"/>
      <c r="H36" s="13"/>
      <c r="I36" s="61"/>
      <c r="J36" s="13"/>
      <c r="K36" s="83"/>
      <c r="L36" s="61"/>
      <c r="M36" s="61"/>
      <c r="N36" s="269"/>
      <c r="P36" s="155"/>
      <c r="R36" s="155"/>
    </row>
    <row r="37" spans="2:18">
      <c r="B37" s="61"/>
      <c r="C37" s="61"/>
      <c r="D37" s="61"/>
      <c r="E37" s="78" t="s">
        <v>384</v>
      </c>
      <c r="F37" s="297"/>
      <c r="G37" s="181"/>
      <c r="H37" s="161"/>
      <c r="I37" s="197"/>
      <c r="J37" s="13"/>
      <c r="K37" s="83"/>
      <c r="L37" s="61"/>
      <c r="M37" s="61"/>
    </row>
    <row r="38" spans="2:18" s="61" customFormat="1" ht="15" customHeight="1">
      <c r="E38" s="78"/>
      <c r="F38" s="297"/>
      <c r="G38" s="86"/>
      <c r="H38" s="161"/>
      <c r="I38" s="197"/>
      <c r="J38" s="13"/>
      <c r="K38" s="83"/>
      <c r="L38" s="88"/>
      <c r="N38" s="272"/>
      <c r="P38" s="273"/>
      <c r="R38" s="273"/>
    </row>
    <row r="39" spans="2:18" s="61" customFormat="1" ht="15" customHeight="1">
      <c r="E39" s="83" t="s">
        <v>34</v>
      </c>
      <c r="F39" s="297">
        <f>F19</f>
        <v>596157.52</v>
      </c>
      <c r="G39" s="88"/>
      <c r="I39" s="197"/>
      <c r="J39" s="13"/>
      <c r="K39" s="85"/>
      <c r="L39" s="161"/>
      <c r="M39" s="197"/>
    </row>
    <row r="40" spans="2:18" s="61" customFormat="1" ht="15" customHeight="1">
      <c r="E40" s="83" t="s">
        <v>35</v>
      </c>
      <c r="F40" s="297">
        <f>+E19</f>
        <v>1044767.68</v>
      </c>
      <c r="G40" s="88"/>
      <c r="I40" s="214"/>
      <c r="J40" s="13"/>
      <c r="K40" s="87"/>
      <c r="L40" s="161"/>
      <c r="M40" s="197"/>
      <c r="N40" s="272"/>
      <c r="P40" s="273"/>
      <c r="R40" s="273"/>
    </row>
    <row r="41" spans="2:18" s="61" customFormat="1" ht="15" customHeight="1">
      <c r="E41" s="83" t="s">
        <v>36</v>
      </c>
      <c r="F41" s="297">
        <v>0</v>
      </c>
      <c r="G41" s="13"/>
      <c r="I41" s="197"/>
      <c r="J41" s="13"/>
      <c r="M41" s="197"/>
    </row>
    <row r="42" spans="2:18" s="61" customFormat="1" ht="15" customHeight="1">
      <c r="E42" s="83" t="s">
        <v>37</v>
      </c>
      <c r="F42" s="297">
        <v>0</v>
      </c>
      <c r="G42" s="13"/>
      <c r="I42" s="197"/>
      <c r="J42" s="13"/>
      <c r="M42" s="197"/>
      <c r="N42" s="272"/>
      <c r="P42" s="273"/>
      <c r="R42" s="273"/>
    </row>
    <row r="43" spans="2:18" s="61" customFormat="1" ht="15" customHeight="1">
      <c r="E43" s="85" t="s">
        <v>38</v>
      </c>
      <c r="F43" s="231">
        <f>SUM(F39:F42)</f>
        <v>1640925.2000000002</v>
      </c>
      <c r="G43" s="13"/>
      <c r="H43" s="163"/>
      <c r="I43" s="229"/>
      <c r="J43" s="13"/>
      <c r="M43" s="197"/>
    </row>
    <row r="44" spans="2:18" s="61" customFormat="1" ht="15" customHeight="1">
      <c r="E44" s="87"/>
      <c r="F44" s="232"/>
      <c r="G44" s="13"/>
      <c r="H44" s="165"/>
      <c r="I44" s="230"/>
      <c r="J44" s="13"/>
      <c r="M44" s="197"/>
      <c r="N44" s="272"/>
      <c r="P44" s="273"/>
      <c r="R44" s="273"/>
    </row>
    <row r="45" spans="2:18" s="61" customFormat="1" ht="15" customHeight="1">
      <c r="E45" s="87" t="s">
        <v>152</v>
      </c>
      <c r="F45" s="232">
        <v>230000</v>
      </c>
      <c r="G45" s="13"/>
      <c r="H45" s="165"/>
      <c r="I45" s="230"/>
      <c r="J45" s="13"/>
      <c r="M45" s="197"/>
      <c r="N45" s="272"/>
      <c r="P45" s="273"/>
      <c r="R45" s="273"/>
    </row>
    <row r="46" spans="2:18" s="61" customFormat="1" ht="15" customHeight="1">
      <c r="E46" s="87" t="s">
        <v>180</v>
      </c>
      <c r="F46" s="232">
        <v>75000</v>
      </c>
      <c r="G46" s="13"/>
      <c r="H46" s="165"/>
      <c r="I46" s="230"/>
      <c r="J46" s="13"/>
      <c r="M46" s="197"/>
      <c r="N46" s="272"/>
      <c r="P46" s="273"/>
      <c r="R46" s="273"/>
    </row>
    <row r="47" spans="2:18" s="61" customFormat="1" ht="15" customHeight="1">
      <c r="E47" s="87" t="s">
        <v>189</v>
      </c>
      <c r="F47" s="232">
        <v>1250000</v>
      </c>
      <c r="G47" s="13"/>
      <c r="H47" s="165"/>
      <c r="I47" s="230"/>
      <c r="J47" s="13"/>
      <c r="M47" s="197"/>
      <c r="N47" s="272"/>
      <c r="P47" s="273"/>
      <c r="R47" s="273"/>
    </row>
    <row r="48" spans="2:18" s="61" customFormat="1" ht="15" customHeight="1">
      <c r="E48" s="87" t="s">
        <v>78</v>
      </c>
      <c r="F48" s="232">
        <v>110000</v>
      </c>
      <c r="G48" s="13"/>
      <c r="H48" s="165"/>
      <c r="I48" s="230"/>
      <c r="J48" s="13"/>
      <c r="L48" s="165"/>
      <c r="M48" s="230"/>
      <c r="N48" s="272"/>
      <c r="P48" s="273"/>
      <c r="R48" s="273"/>
    </row>
    <row r="49" spans="2:13" s="61" customFormat="1" ht="15" customHeight="1">
      <c r="E49" s="87" t="s">
        <v>64</v>
      </c>
      <c r="F49" s="232">
        <v>150000</v>
      </c>
      <c r="G49" s="13"/>
      <c r="H49" s="165"/>
      <c r="I49" s="230"/>
      <c r="J49" s="13"/>
    </row>
    <row r="50" spans="2:13" s="61" customFormat="1" ht="15" customHeight="1">
      <c r="E50" s="91" t="s">
        <v>24</v>
      </c>
      <c r="F50" s="228">
        <f>15000+100000+65000+240000</f>
        <v>420000</v>
      </c>
      <c r="H50" s="91"/>
      <c r="I50" s="231"/>
      <c r="J50" s="13"/>
    </row>
    <row r="51" spans="2:13" s="61" customFormat="1" ht="15" customHeight="1">
      <c r="E51" s="91" t="s">
        <v>22</v>
      </c>
      <c r="F51" s="228">
        <v>50000</v>
      </c>
      <c r="H51" s="96"/>
      <c r="I51" s="231"/>
      <c r="J51" s="262"/>
    </row>
    <row r="52" spans="2:13" s="61" customFormat="1">
      <c r="E52" s="91" t="s">
        <v>40</v>
      </c>
      <c r="F52" s="232">
        <v>180000</v>
      </c>
      <c r="G52" s="83"/>
      <c r="H52" s="83"/>
      <c r="I52" s="228"/>
      <c r="J52" s="13"/>
    </row>
    <row r="53" spans="2:13" s="61" customFormat="1">
      <c r="E53" s="91" t="s">
        <v>385</v>
      </c>
      <c r="F53" s="232">
        <v>500000</v>
      </c>
      <c r="G53" s="83"/>
      <c r="H53" s="83"/>
      <c r="I53" s="228"/>
      <c r="J53" s="13"/>
    </row>
    <row r="54" spans="2:13" s="61" customFormat="1">
      <c r="E54" s="91" t="s">
        <v>69</v>
      </c>
      <c r="F54" s="232">
        <v>60000</v>
      </c>
      <c r="G54" s="83"/>
      <c r="H54" s="83"/>
      <c r="I54" s="228"/>
      <c r="J54" s="13"/>
    </row>
    <row r="55" spans="2:13" s="61" customFormat="1">
      <c r="E55" s="96" t="s">
        <v>41</v>
      </c>
      <c r="F55" s="231">
        <f>SUM(F45:F54)</f>
        <v>3025000</v>
      </c>
      <c r="G55" s="83"/>
      <c r="H55" s="83"/>
      <c r="I55" s="233"/>
      <c r="J55" s="13"/>
    </row>
    <row r="56" spans="2:13" s="61" customFormat="1">
      <c r="E56" s="96" t="s">
        <v>42</v>
      </c>
      <c r="F56" s="231">
        <f>F43-F55</f>
        <v>-1384074.7999999998</v>
      </c>
      <c r="G56" s="83"/>
      <c r="H56" s="83"/>
      <c r="I56" s="233"/>
      <c r="J56" s="13"/>
    </row>
    <row r="57" spans="2:13" s="61" customFormat="1">
      <c r="E57" s="83"/>
      <c r="F57" s="151"/>
      <c r="G57" s="83"/>
      <c r="H57" s="83"/>
      <c r="I57" s="233"/>
      <c r="J57" s="13"/>
      <c r="L57" s="91"/>
      <c r="M57" s="232"/>
    </row>
    <row r="58" spans="2:13" s="61" customFormat="1">
      <c r="E58" s="83" t="s">
        <v>43</v>
      </c>
      <c r="F58" s="151">
        <v>0</v>
      </c>
      <c r="G58" s="83"/>
      <c r="H58" s="96"/>
      <c r="I58" s="228"/>
      <c r="J58" s="13"/>
      <c r="L58" s="91"/>
      <c r="M58" s="232"/>
    </row>
    <row r="59" spans="2:13" s="61" customFormat="1">
      <c r="E59" s="83" t="s">
        <v>44</v>
      </c>
      <c r="F59" s="151">
        <f>85000-60000</f>
        <v>25000</v>
      </c>
      <c r="G59" s="83"/>
      <c r="H59" s="96"/>
      <c r="I59" s="228"/>
      <c r="J59" s="13"/>
      <c r="L59" s="91"/>
      <c r="M59" s="232"/>
    </row>
    <row r="60" spans="2:13" s="61" customFormat="1">
      <c r="E60" s="83" t="s">
        <v>380</v>
      </c>
      <c r="F60" s="151">
        <v>0</v>
      </c>
      <c r="G60" s="83"/>
      <c r="H60" s="83"/>
      <c r="I60" s="233"/>
      <c r="J60" s="13"/>
      <c r="L60" s="96"/>
      <c r="M60" s="231"/>
    </row>
    <row r="61" spans="2:13" s="61" customFormat="1">
      <c r="E61" s="83" t="s">
        <v>45</v>
      </c>
      <c r="F61" s="95">
        <v>993098.58</v>
      </c>
      <c r="H61" s="96"/>
      <c r="I61" s="219"/>
      <c r="J61" s="13"/>
      <c r="L61" s="96"/>
      <c r="M61" s="233"/>
    </row>
    <row r="62" spans="2:13" s="61" customFormat="1">
      <c r="E62" s="83" t="s">
        <v>205</v>
      </c>
      <c r="F62" s="95">
        <v>0</v>
      </c>
      <c r="J62" s="13"/>
    </row>
    <row r="63" spans="2:13" s="61" customFormat="1">
      <c r="B63"/>
      <c r="C63"/>
      <c r="D63"/>
      <c r="E63" s="83" t="s">
        <v>206</v>
      </c>
      <c r="F63" s="95">
        <v>1100000</v>
      </c>
      <c r="J63" s="13"/>
      <c r="L63" s="83"/>
      <c r="M63" s="228"/>
    </row>
    <row r="64" spans="2:13">
      <c r="E64" s="96" t="s">
        <v>46</v>
      </c>
      <c r="F64" s="99">
        <f>SUM(F58:F63)</f>
        <v>2118098.58</v>
      </c>
      <c r="G64" s="61"/>
      <c r="L64" s="61"/>
      <c r="M64" s="61"/>
    </row>
    <row r="65" spans="1:13">
      <c r="E65" s="83"/>
      <c r="F65" s="151"/>
      <c r="G65" s="61"/>
      <c r="L65" s="61"/>
      <c r="M65" s="61"/>
    </row>
    <row r="66" spans="1:13">
      <c r="E66" s="96" t="s">
        <v>47</v>
      </c>
      <c r="F66" s="99">
        <f>F56-F64</f>
        <v>-3502173.38</v>
      </c>
      <c r="G66" s="61"/>
    </row>
    <row r="67" spans="1:13">
      <c r="D67" s="247" t="s">
        <v>192</v>
      </c>
      <c r="E67" s="61"/>
      <c r="F67" s="219"/>
      <c r="G67" s="8"/>
    </row>
    <row r="68" spans="1:13">
      <c r="D68" s="247" t="s">
        <v>194</v>
      </c>
      <c r="E68" s="61"/>
      <c r="F68" s="219"/>
      <c r="G68" s="8"/>
    </row>
    <row r="69" spans="1:13">
      <c r="D69" s="8" t="s">
        <v>9</v>
      </c>
      <c r="E69" s="61"/>
      <c r="F69" s="219"/>
      <c r="G69" s="124">
        <f>SUM(E77:F77)</f>
        <v>0</v>
      </c>
    </row>
    <row r="70" spans="1:13">
      <c r="D70" s="8" t="s">
        <v>195</v>
      </c>
      <c r="E70" s="8"/>
      <c r="F70" s="220"/>
      <c r="G70" s="8"/>
    </row>
    <row r="71" spans="1:13">
      <c r="D71" s="8" t="s">
        <v>188</v>
      </c>
      <c r="E71" s="247"/>
      <c r="F71" s="247"/>
      <c r="G71" s="8"/>
    </row>
    <row r="72" spans="1:13">
      <c r="D72" s="8"/>
      <c r="E72" s="247"/>
      <c r="F72" s="248"/>
    </row>
    <row r="73" spans="1:13">
      <c r="E73" s="249"/>
      <c r="F73" s="246"/>
    </row>
    <row r="74" spans="1:13">
      <c r="E74" s="249"/>
      <c r="F74" s="287"/>
    </row>
    <row r="75" spans="1:13">
      <c r="E75" s="249"/>
      <c r="F75" s="287"/>
    </row>
    <row r="76" spans="1:13">
      <c r="E76" s="124"/>
      <c r="F76" s="287"/>
    </row>
    <row r="77" spans="1:13">
      <c r="E77" s="8"/>
    </row>
    <row r="78" spans="1:13">
      <c r="E78" s="8"/>
    </row>
    <row r="79" spans="1:13">
      <c r="A79" s="268"/>
      <c r="E79" s="8"/>
    </row>
    <row r="80" spans="1:13">
      <c r="E80" s="8"/>
    </row>
    <row r="81" spans="1:5">
      <c r="B81" s="235"/>
      <c r="E81" s="8"/>
    </row>
    <row r="82" spans="1:5">
      <c r="E82" s="8"/>
    </row>
    <row r="83" spans="1:5">
      <c r="E83" s="293"/>
    </row>
    <row r="84" spans="1:5">
      <c r="C84" s="155"/>
      <c r="E84" s="8"/>
    </row>
    <row r="85" spans="1:5">
      <c r="A85" s="269"/>
      <c r="E85" s="293"/>
    </row>
    <row r="86" spans="1:5">
      <c r="C86" s="155"/>
      <c r="E86" s="8"/>
    </row>
    <row r="87" spans="1:5">
      <c r="A87" s="269"/>
      <c r="E87" s="293"/>
    </row>
    <row r="88" spans="1:5">
      <c r="C88" s="155"/>
      <c r="E88" s="8"/>
    </row>
    <row r="89" spans="1:5">
      <c r="A89" s="269"/>
      <c r="E89" s="293"/>
    </row>
    <row r="90" spans="1:5">
      <c r="C90" s="155"/>
      <c r="E90" s="8"/>
    </row>
    <row r="91" spans="1:5">
      <c r="A91" s="269"/>
      <c r="E91" s="293"/>
    </row>
    <row r="92" spans="1:5">
      <c r="C92" s="155"/>
      <c r="E92" s="8"/>
    </row>
    <row r="93" spans="1:5">
      <c r="A93" s="269"/>
      <c r="E93" s="293"/>
    </row>
    <row r="94" spans="1:5">
      <c r="C94" s="155"/>
      <c r="E94" s="8"/>
    </row>
    <row r="95" spans="1:5">
      <c r="A95" s="269"/>
      <c r="E95" s="293"/>
    </row>
    <row r="96" spans="1:5">
      <c r="C96" s="155"/>
      <c r="E96" s="8"/>
    </row>
    <row r="97" spans="1:5">
      <c r="A97" s="269"/>
      <c r="E97" s="293"/>
    </row>
    <row r="98" spans="1:5">
      <c r="C98" s="155"/>
      <c r="E98" s="8"/>
    </row>
    <row r="99" spans="1:5">
      <c r="A99" s="269"/>
      <c r="E99" s="293"/>
    </row>
    <row r="100" spans="1:5">
      <c r="C100" s="155"/>
      <c r="E100" s="8"/>
    </row>
    <row r="101" spans="1:5">
      <c r="A101" s="269"/>
      <c r="E101" s="293"/>
    </row>
    <row r="102" spans="1:5">
      <c r="C102" s="155"/>
      <c r="E102" s="8"/>
    </row>
    <row r="103" spans="1:5">
      <c r="A103" s="269"/>
      <c r="E103" s="293"/>
    </row>
    <row r="104" spans="1:5">
      <c r="C104" s="155"/>
      <c r="E104" s="8"/>
    </row>
    <row r="105" spans="1:5">
      <c r="A105" s="269"/>
      <c r="E105" s="293"/>
    </row>
    <row r="106" spans="1:5">
      <c r="C106" s="155"/>
      <c r="E106" s="8"/>
    </row>
    <row r="107" spans="1:5">
      <c r="A107" s="269"/>
      <c r="E107" s="293"/>
    </row>
    <row r="108" spans="1:5">
      <c r="C108" s="155"/>
      <c r="E108" s="8"/>
    </row>
    <row r="109" spans="1:5">
      <c r="A109" s="269"/>
      <c r="E109" s="293"/>
    </row>
    <row r="110" spans="1:5">
      <c r="C110" s="155"/>
      <c r="E110" s="8"/>
    </row>
    <row r="111" spans="1:5">
      <c r="A111" s="269"/>
      <c r="E111" s="293"/>
    </row>
    <row r="112" spans="1:5">
      <c r="C112" s="155"/>
      <c r="E112" s="8"/>
    </row>
    <row r="113" spans="1:5">
      <c r="A113" s="269"/>
      <c r="E113" s="293"/>
    </row>
    <row r="114" spans="1:5">
      <c r="C114" s="155"/>
      <c r="E114" s="8"/>
    </row>
    <row r="115" spans="1:5">
      <c r="A115" s="269"/>
      <c r="E115" s="277"/>
    </row>
    <row r="116" spans="1:5">
      <c r="C116" s="155"/>
      <c r="E116" s="79"/>
    </row>
    <row r="117" spans="1:5">
      <c r="A117" s="269"/>
      <c r="E117" s="277"/>
    </row>
    <row r="118" spans="1:5">
      <c r="C118" s="155"/>
      <c r="E118" s="79"/>
    </row>
    <row r="119" spans="1:5">
      <c r="A119" s="269"/>
      <c r="E119" s="277"/>
    </row>
    <row r="120" spans="1:5">
      <c r="C120" s="155"/>
      <c r="E120" s="79"/>
    </row>
    <row r="121" spans="1:5">
      <c r="A121" s="269"/>
      <c r="E121" s="277"/>
    </row>
    <row r="122" spans="1:5">
      <c r="C122" s="155"/>
      <c r="E122" s="79"/>
    </row>
    <row r="123" spans="1:5">
      <c r="A123" s="269"/>
      <c r="E123" s="277"/>
    </row>
    <row r="124" spans="1:5">
      <c r="C124" s="155"/>
      <c r="E124" s="79"/>
    </row>
    <row r="125" spans="1:5">
      <c r="A125" s="269"/>
      <c r="E125" s="277"/>
    </row>
    <row r="126" spans="1:5">
      <c r="C126" s="155"/>
      <c r="E126" s="79"/>
    </row>
    <row r="127" spans="1:5">
      <c r="A127" s="269"/>
      <c r="E127" s="277"/>
    </row>
    <row r="128" spans="1:5">
      <c r="C128" s="155"/>
    </row>
    <row r="129" spans="1:5">
      <c r="A129" s="269"/>
      <c r="E129" s="155"/>
    </row>
    <row r="130" spans="1:5">
      <c r="C130" s="155"/>
    </row>
    <row r="131" spans="1:5">
      <c r="A131" s="269"/>
      <c r="E131" s="155"/>
    </row>
    <row r="132" spans="1:5">
      <c r="C132" s="155"/>
    </row>
    <row r="133" spans="1:5">
      <c r="A133" s="269"/>
      <c r="E133" s="155"/>
    </row>
    <row r="134" spans="1:5">
      <c r="C134" s="155"/>
    </row>
    <row r="135" spans="1:5">
      <c r="A135" s="269"/>
      <c r="E135" s="155"/>
    </row>
    <row r="136" spans="1:5">
      <c r="C136" s="155"/>
    </row>
    <row r="137" spans="1:5">
      <c r="A137" s="269"/>
      <c r="E137" s="155"/>
    </row>
    <row r="138" spans="1:5">
      <c r="C138" s="155"/>
    </row>
    <row r="139" spans="1:5">
      <c r="A139" s="269"/>
      <c r="E139" s="155"/>
    </row>
    <row r="140" spans="1:5">
      <c r="C140" s="155"/>
    </row>
    <row r="141" spans="1:5">
      <c r="A141" s="269"/>
      <c r="E141" s="155"/>
    </row>
    <row r="142" spans="1:5">
      <c r="C142" s="155"/>
    </row>
    <row r="143" spans="1:5">
      <c r="A143" s="269"/>
      <c r="E143" s="155"/>
    </row>
    <row r="144" spans="1:5">
      <c r="C144" s="155"/>
    </row>
    <row r="145" spans="1:5">
      <c r="A145" s="269"/>
      <c r="E145" s="155"/>
    </row>
    <row r="146" spans="1:5">
      <c r="C146" s="155"/>
    </row>
    <row r="147" spans="1:5">
      <c r="A147" s="269"/>
      <c r="E147" s="155"/>
    </row>
    <row r="148" spans="1:5">
      <c r="C148" s="155"/>
    </row>
    <row r="149" spans="1:5">
      <c r="A149" s="269"/>
      <c r="E149" s="155"/>
    </row>
    <row r="150" spans="1:5">
      <c r="C150" s="155"/>
    </row>
    <row r="151" spans="1:5">
      <c r="A151" s="269"/>
      <c r="E151" s="155"/>
    </row>
    <row r="152" spans="1:5">
      <c r="C152" s="155"/>
    </row>
    <row r="153" spans="1:5">
      <c r="A153" s="269"/>
      <c r="E153" s="155"/>
    </row>
    <row r="154" spans="1:5">
      <c r="C154" s="155"/>
    </row>
    <row r="155" spans="1:5">
      <c r="A155" s="269"/>
      <c r="E155" s="155"/>
    </row>
    <row r="156" spans="1:5">
      <c r="C156" s="155"/>
    </row>
    <row r="157" spans="1:5">
      <c r="A157" s="269"/>
      <c r="E157" s="155"/>
    </row>
    <row r="158" spans="1:5">
      <c r="C158" s="155"/>
    </row>
    <row r="159" spans="1:5">
      <c r="A159" s="269"/>
      <c r="E159" s="155"/>
    </row>
    <row r="160" spans="1:5">
      <c r="C160" s="155"/>
    </row>
    <row r="161" spans="1:5">
      <c r="A161" s="269"/>
      <c r="E161" s="155"/>
    </row>
    <row r="162" spans="1:5">
      <c r="C162" s="155"/>
    </row>
    <row r="163" spans="1:5">
      <c r="A163" s="269"/>
      <c r="E163" s="155"/>
    </row>
    <row r="164" spans="1:5">
      <c r="C164" s="155"/>
    </row>
    <row r="165" spans="1:5">
      <c r="A165" s="269"/>
      <c r="E165" s="155"/>
    </row>
    <row r="166" spans="1:5">
      <c r="C166" s="155"/>
    </row>
    <row r="167" spans="1:5">
      <c r="A167" s="269"/>
      <c r="E167" s="155"/>
    </row>
    <row r="168" spans="1:5">
      <c r="C168" s="155"/>
    </row>
    <row r="169" spans="1:5">
      <c r="A169" s="269"/>
      <c r="E169" s="155"/>
    </row>
    <row r="170" spans="1:5">
      <c r="C170" s="155"/>
    </row>
    <row r="171" spans="1:5">
      <c r="A171" s="269"/>
      <c r="E171" s="155"/>
    </row>
    <row r="172" spans="1:5">
      <c r="C172" s="155"/>
    </row>
    <row r="173" spans="1:5">
      <c r="A173" s="269"/>
      <c r="E173" s="155"/>
    </row>
    <row r="174" spans="1:5">
      <c r="C174" s="155"/>
    </row>
    <row r="175" spans="1:5">
      <c r="A175" s="269"/>
      <c r="E175" s="155"/>
    </row>
    <row r="176" spans="1:5">
      <c r="C176" s="155"/>
    </row>
    <row r="177" spans="1:5">
      <c r="A177" s="269"/>
      <c r="E177" s="155"/>
    </row>
    <row r="178" spans="1:5">
      <c r="C178" s="155"/>
    </row>
    <row r="179" spans="1:5">
      <c r="A179" s="269"/>
      <c r="E179" s="155"/>
    </row>
    <row r="180" spans="1:5">
      <c r="C180" s="155"/>
    </row>
    <row r="181" spans="1:5">
      <c r="A181" s="269"/>
      <c r="E181" s="155"/>
    </row>
    <row r="182" spans="1:5">
      <c r="C182" s="155"/>
    </row>
    <row r="183" spans="1:5">
      <c r="A183" s="269"/>
      <c r="E183" s="155"/>
    </row>
    <row r="184" spans="1:5">
      <c r="C184" s="155"/>
    </row>
    <row r="185" spans="1:5">
      <c r="A185" s="269"/>
      <c r="E185" s="155"/>
    </row>
    <row r="186" spans="1:5">
      <c r="C186" s="155"/>
    </row>
    <row r="187" spans="1:5">
      <c r="A187" s="269"/>
      <c r="E187" s="155"/>
    </row>
    <row r="188" spans="1:5">
      <c r="C188" s="155"/>
    </row>
    <row r="189" spans="1:5">
      <c r="A189" s="269"/>
      <c r="E189" s="155"/>
    </row>
    <row r="190" spans="1:5">
      <c r="C190" s="155"/>
    </row>
    <row r="191" spans="1:5">
      <c r="A191" s="269"/>
      <c r="E191" s="155"/>
    </row>
    <row r="192" spans="1:5">
      <c r="C192" s="155"/>
    </row>
    <row r="193" spans="1:5">
      <c r="A193" s="269"/>
      <c r="E193" s="155"/>
    </row>
    <row r="194" spans="1:5">
      <c r="C194" s="155"/>
    </row>
    <row r="195" spans="1:5">
      <c r="A195" s="269"/>
      <c r="E195" s="155"/>
    </row>
    <row r="196" spans="1:5">
      <c r="C196" s="155"/>
    </row>
    <row r="197" spans="1:5">
      <c r="A197" s="269"/>
      <c r="E197" s="155"/>
    </row>
    <row r="198" spans="1:5">
      <c r="C198" s="155"/>
    </row>
    <row r="199" spans="1:5">
      <c r="A199" s="269"/>
      <c r="E199" s="155"/>
    </row>
    <row r="200" spans="1:5">
      <c r="C200" s="155"/>
    </row>
    <row r="201" spans="1:5">
      <c r="A201" s="269"/>
      <c r="E201" s="155"/>
    </row>
    <row r="202" spans="1:5">
      <c r="C202" s="155"/>
    </row>
    <row r="203" spans="1:5">
      <c r="A203" s="269"/>
      <c r="E203" s="155"/>
    </row>
    <row r="204" spans="1:5">
      <c r="D204" s="155"/>
    </row>
    <row r="205" spans="1:5">
      <c r="A205" s="269"/>
      <c r="E205" s="155"/>
    </row>
    <row r="206" spans="1:5">
      <c r="C206" s="155"/>
    </row>
    <row r="207" spans="1:5">
      <c r="A207" s="269"/>
      <c r="E207" s="155"/>
    </row>
    <row r="208" spans="1:5">
      <c r="C208" s="155"/>
    </row>
    <row r="209" spans="1:5">
      <c r="A209" s="269"/>
      <c r="E209" s="155"/>
    </row>
    <row r="210" spans="1:5">
      <c r="C210" s="155"/>
    </row>
    <row r="211" spans="1:5">
      <c r="A211" s="269"/>
      <c r="E211" s="155"/>
    </row>
    <row r="212" spans="1:5">
      <c r="C212" s="155"/>
    </row>
    <row r="213" spans="1:5">
      <c r="A213" s="269"/>
      <c r="E213" s="155"/>
    </row>
    <row r="214" spans="1:5">
      <c r="C214" s="155"/>
    </row>
    <row r="215" spans="1:5">
      <c r="A215" s="269"/>
    </row>
  </sheetData>
  <mergeCells count="16"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13B3F-DDD9-4B9B-9D3F-3BD75A079798}">
  <dimension ref="A6:R215"/>
  <sheetViews>
    <sheetView showGridLines="0" topLeftCell="A6" workbookViewId="0">
      <selection activeCell="A6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</row>
    <row r="12" spans="1:12" ht="19" thickBot="1">
      <c r="A12" s="1"/>
      <c r="B12" s="331" t="s">
        <v>2</v>
      </c>
      <c r="C12" s="332"/>
      <c r="D12" s="332"/>
      <c r="E12" s="333"/>
      <c r="F12" s="295"/>
      <c r="G12" s="296"/>
      <c r="H12" s="1"/>
      <c r="I12" s="1"/>
      <c r="J12" s="76"/>
      <c r="K12" s="1"/>
    </row>
    <row r="13" spans="1:12" ht="18" thickBot="1">
      <c r="A13" s="1"/>
      <c r="B13" s="1"/>
      <c r="C13" s="1"/>
      <c r="D13" s="1"/>
      <c r="E13" s="1"/>
      <c r="F13" s="215"/>
      <c r="G13" s="11"/>
      <c r="H13" s="11"/>
      <c r="I13" s="11"/>
      <c r="J13" s="15"/>
      <c r="K13" s="16"/>
    </row>
    <row r="14" spans="1:12" ht="18" thickBot="1">
      <c r="A14" s="11"/>
      <c r="B14" s="334" t="s">
        <v>3</v>
      </c>
      <c r="C14" s="335"/>
      <c r="D14" s="336"/>
      <c r="E14" s="17">
        <f>SUM(E15:E17)</f>
        <v>361326.42000000004</v>
      </c>
      <c r="F14" s="264"/>
      <c r="G14" s="331" t="s">
        <v>4</v>
      </c>
      <c r="H14" s="332"/>
      <c r="I14" s="332"/>
      <c r="J14" s="332"/>
      <c r="K14" s="333"/>
      <c r="L14" s="13"/>
    </row>
    <row r="15" spans="1:12">
      <c r="A15" s="1"/>
      <c r="B15" s="337" t="s">
        <v>5</v>
      </c>
      <c r="C15" s="338"/>
      <c r="D15" s="339"/>
      <c r="E15" s="20">
        <f>J16+J17+J18+J19</f>
        <v>93452.170000000013</v>
      </c>
      <c r="F15" s="153"/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41012.600000000006</v>
      </c>
      <c r="F16" s="153"/>
      <c r="G16" s="22">
        <v>33128.54</v>
      </c>
      <c r="H16" s="23" t="s">
        <v>8</v>
      </c>
      <c r="I16" s="24"/>
      <c r="J16" s="25">
        <v>35081.26</v>
      </c>
      <c r="K16" s="26" t="s">
        <v>9</v>
      </c>
      <c r="L16" s="19"/>
    </row>
    <row r="17" spans="1:18">
      <c r="A17" s="1"/>
      <c r="B17" s="352" t="s">
        <v>6</v>
      </c>
      <c r="C17" s="353"/>
      <c r="D17" s="354"/>
      <c r="E17" s="28">
        <f>G16+G17+G18</f>
        <v>226861.65000000002</v>
      </c>
      <c r="F17" s="153">
        <f>E15+E16+E17</f>
        <v>361326.42000000004</v>
      </c>
      <c r="G17" s="22">
        <v>64198.75</v>
      </c>
      <c r="H17" s="29" t="s">
        <v>10</v>
      </c>
      <c r="I17" s="30"/>
      <c r="J17" s="25">
        <v>17069.330000000002</v>
      </c>
      <c r="K17" s="31" t="s">
        <v>10</v>
      </c>
      <c r="L17" s="13"/>
    </row>
    <row r="18" spans="1:18">
      <c r="A18" s="1"/>
      <c r="B18" s="236" t="s">
        <v>187</v>
      </c>
      <c r="C18" s="237"/>
      <c r="D18" s="238"/>
      <c r="E18" s="28">
        <f>+J22</f>
        <v>23147.18</v>
      </c>
      <c r="F18" s="153">
        <v>90000</v>
      </c>
      <c r="G18" s="22">
        <v>129534.36</v>
      </c>
      <c r="H18" s="29" t="s">
        <v>12</v>
      </c>
      <c r="I18" s="30"/>
      <c r="J18" s="25">
        <v>27122.9</v>
      </c>
      <c r="K18" s="31" t="s">
        <v>12</v>
      </c>
      <c r="L18" s="13"/>
      <c r="N18" s="3"/>
    </row>
    <row r="19" spans="1:18">
      <c r="B19" s="379" t="s">
        <v>11</v>
      </c>
      <c r="C19" s="380"/>
      <c r="D19" s="381"/>
      <c r="E19" s="20">
        <f>G29+G31+G30+G28</f>
        <v>744877.71000000008</v>
      </c>
      <c r="F19" s="153">
        <f>+F17-F18</f>
        <v>271326.42000000004</v>
      </c>
      <c r="G19" s="33"/>
      <c r="H19" s="34"/>
      <c r="I19" s="30"/>
      <c r="J19" s="25">
        <v>14178.68</v>
      </c>
      <c r="K19" s="31" t="s">
        <v>14</v>
      </c>
      <c r="N19" s="3"/>
    </row>
    <row r="20" spans="1:18">
      <c r="B20" s="344" t="s">
        <v>13</v>
      </c>
      <c r="C20" s="345"/>
      <c r="D20" s="346"/>
      <c r="E20" s="20">
        <v>19183314.780000001</v>
      </c>
      <c r="F20" s="153"/>
      <c r="G20" s="239"/>
      <c r="H20" s="240"/>
      <c r="I20" s="30"/>
      <c r="J20" s="25"/>
      <c r="K20" s="31"/>
      <c r="L20" s="152"/>
      <c r="N20" s="3"/>
    </row>
    <row r="21" spans="1:18">
      <c r="B21" s="187" t="s">
        <v>15</v>
      </c>
      <c r="C21" s="188"/>
      <c r="D21" s="189"/>
      <c r="E21" s="190">
        <f>SUM(E22:E25)</f>
        <v>46206.74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  <c r="N21" s="268"/>
    </row>
    <row r="22" spans="1:18">
      <c r="B22" s="187"/>
      <c r="C22" s="188"/>
      <c r="D22" s="300" t="s">
        <v>93</v>
      </c>
      <c r="E22" s="190">
        <v>46206.74</v>
      </c>
      <c r="F22" s="153"/>
      <c r="G22" s="44">
        <v>20030.240000000002</v>
      </c>
      <c r="H22" s="29" t="s">
        <v>10</v>
      </c>
      <c r="I22" s="30"/>
      <c r="J22" s="25">
        <v>23147.18</v>
      </c>
      <c r="K22" s="31" t="s">
        <v>188</v>
      </c>
      <c r="L22" s="294"/>
      <c r="M22" s="294"/>
    </row>
    <row r="23" spans="1:18">
      <c r="B23" s="187"/>
      <c r="C23" s="188"/>
      <c r="D23" s="198"/>
      <c r="E23" s="190">
        <v>0</v>
      </c>
      <c r="F23" s="153"/>
      <c r="G23" s="44">
        <v>20982.36</v>
      </c>
      <c r="H23" s="29" t="s">
        <v>18</v>
      </c>
      <c r="I23" s="30"/>
      <c r="J23" s="25"/>
      <c r="K23" s="31"/>
      <c r="L23" s="294"/>
      <c r="M23" s="294"/>
    </row>
    <row r="24" spans="1:18" ht="15" thickBot="1">
      <c r="B24" s="187"/>
      <c r="C24" s="188"/>
      <c r="D24" s="198"/>
      <c r="E24" s="190">
        <v>0</v>
      </c>
      <c r="F24" s="153"/>
      <c r="G24" s="51"/>
      <c r="H24" s="34"/>
      <c r="I24" s="30"/>
      <c r="J24" s="210"/>
      <c r="K24" s="53"/>
      <c r="L24" s="294"/>
      <c r="M24" s="294"/>
      <c r="O24" s="235"/>
    </row>
    <row r="25" spans="1:18" ht="15" thickBot="1">
      <c r="B25" s="187"/>
      <c r="C25" s="188"/>
      <c r="D25" s="198"/>
      <c r="E25" s="190">
        <v>0</v>
      </c>
      <c r="F25" s="153"/>
      <c r="G25" s="331" t="s">
        <v>21</v>
      </c>
      <c r="H25" s="332"/>
      <c r="I25" s="332"/>
      <c r="J25" s="332"/>
      <c r="K25" s="333"/>
    </row>
    <row r="26" spans="1:18">
      <c r="B26" s="202" t="s">
        <v>17</v>
      </c>
      <c r="C26" s="203"/>
      <c r="D26" s="204"/>
      <c r="E26" s="234">
        <v>0</v>
      </c>
      <c r="F26" s="220"/>
      <c r="G26" s="54"/>
      <c r="H26" s="55"/>
      <c r="I26" s="56"/>
      <c r="J26" s="211"/>
      <c r="K26" s="58"/>
      <c r="N26" s="290"/>
    </row>
    <row r="27" spans="1:18">
      <c r="B27" s="202" t="s">
        <v>64</v>
      </c>
      <c r="C27" s="203"/>
      <c r="D27" s="204"/>
      <c r="E27" s="234">
        <v>50422</v>
      </c>
      <c r="F27" s="153">
        <f>+F19-E26</f>
        <v>271326.42000000004</v>
      </c>
      <c r="G27" s="377" t="s">
        <v>5</v>
      </c>
      <c r="H27" s="378"/>
      <c r="I27" s="59"/>
      <c r="J27" s="60"/>
      <c r="K27" s="45"/>
      <c r="N27" s="290"/>
      <c r="Q27" s="155"/>
      <c r="R27" s="155"/>
    </row>
    <row r="28" spans="1:18">
      <c r="B28" s="199" t="s">
        <v>22</v>
      </c>
      <c r="C28" s="200"/>
      <c r="D28" s="201"/>
      <c r="E28" s="234">
        <f>1410+6836.4</f>
        <v>8246.4</v>
      </c>
      <c r="F28" s="288">
        <f>SUM(E26:E32)</f>
        <v>133668.4</v>
      </c>
      <c r="G28" s="22">
        <v>4174.3900000000003</v>
      </c>
      <c r="H28" s="62" t="s">
        <v>9</v>
      </c>
      <c r="I28" s="59"/>
      <c r="J28" s="60"/>
      <c r="K28" s="45"/>
      <c r="N28" s="290"/>
      <c r="P28" s="155"/>
      <c r="R28" s="155"/>
    </row>
    <row r="29" spans="1:18">
      <c r="B29" s="199" t="s">
        <v>50</v>
      </c>
      <c r="C29" s="200"/>
      <c r="D29" s="201"/>
      <c r="E29" s="234">
        <v>75000</v>
      </c>
      <c r="F29" s="153">
        <f>+F27-F28</f>
        <v>137658.02000000005</v>
      </c>
      <c r="G29" s="22">
        <v>551570.25</v>
      </c>
      <c r="H29" s="62" t="s">
        <v>26</v>
      </c>
      <c r="I29" s="63"/>
      <c r="J29" s="64" t="s">
        <v>27</v>
      </c>
      <c r="K29" s="65" t="s">
        <v>28</v>
      </c>
      <c r="M29" s="291"/>
      <c r="N29" s="292"/>
    </row>
    <row r="30" spans="1:18">
      <c r="B30" s="199" t="s">
        <v>80</v>
      </c>
      <c r="C30" s="200"/>
      <c r="D30" s="201"/>
      <c r="E30" s="49">
        <v>0</v>
      </c>
      <c r="F30" s="221"/>
      <c r="G30" s="67">
        <v>181874.27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1:18" ht="15" thickBot="1">
      <c r="B31" s="344" t="s">
        <v>69</v>
      </c>
      <c r="C31" s="345"/>
      <c r="D31" s="346"/>
      <c r="E31" s="234">
        <v>0</v>
      </c>
      <c r="F31" s="220"/>
      <c r="G31" s="71">
        <v>7258.8</v>
      </c>
      <c r="H31" s="72" t="s">
        <v>12</v>
      </c>
      <c r="I31" s="73"/>
      <c r="J31" s="74" t="s">
        <v>32</v>
      </c>
      <c r="K31" s="75" t="s">
        <v>33</v>
      </c>
    </row>
    <row r="32" spans="1:18" ht="15" thickBot="1">
      <c r="B32" s="363" t="s">
        <v>29</v>
      </c>
      <c r="C32" s="364"/>
      <c r="D32" s="365"/>
      <c r="E32" s="66">
        <v>0</v>
      </c>
      <c r="F32" s="220"/>
      <c r="N32" s="269"/>
      <c r="P32" s="155"/>
      <c r="R32" s="155"/>
    </row>
    <row r="33" spans="2:18">
      <c r="E33" s="61"/>
      <c r="F33" s="219"/>
    </row>
    <row r="34" spans="2:18">
      <c r="E34" s="61"/>
      <c r="F34" s="219"/>
      <c r="H34" s="61"/>
      <c r="I34" s="61"/>
      <c r="J34" s="39"/>
      <c r="K34" s="61"/>
      <c r="N34" s="269"/>
      <c r="P34" s="155"/>
      <c r="R34" s="155"/>
    </row>
    <row r="35" spans="2:18">
      <c r="E35" s="61"/>
      <c r="F35" s="219"/>
      <c r="G35" s="8"/>
      <c r="H35" s="61"/>
      <c r="I35" s="61"/>
      <c r="J35" s="39"/>
      <c r="K35" s="61"/>
    </row>
    <row r="36" spans="2:18">
      <c r="E36" s="61"/>
      <c r="F36" s="219"/>
      <c r="G36" s="8"/>
      <c r="H36" s="13"/>
      <c r="I36" s="61"/>
      <c r="J36" s="13"/>
      <c r="K36" s="83"/>
      <c r="L36" s="61"/>
      <c r="M36" s="61"/>
      <c r="N36" s="269"/>
      <c r="P36" s="155"/>
      <c r="R36" s="155"/>
    </row>
    <row r="37" spans="2:18">
      <c r="B37" s="61"/>
      <c r="C37" s="61"/>
      <c r="D37" s="61"/>
      <c r="E37" s="110" t="s">
        <v>384</v>
      </c>
      <c r="F37" s="299"/>
      <c r="G37" s="181"/>
      <c r="H37" s="161"/>
      <c r="I37" s="197"/>
      <c r="J37" s="13"/>
      <c r="K37" s="83"/>
      <c r="L37" s="61"/>
      <c r="M37" s="61"/>
    </row>
    <row r="38" spans="2:18" s="61" customFormat="1" ht="15" customHeight="1">
      <c r="E38" s="110"/>
      <c r="F38" s="299"/>
      <c r="G38" s="86"/>
      <c r="H38" s="161"/>
      <c r="I38" s="197"/>
      <c r="J38" s="13"/>
      <c r="K38" s="83"/>
      <c r="L38" s="88"/>
      <c r="N38" s="272"/>
      <c r="P38" s="273"/>
      <c r="R38" s="273"/>
    </row>
    <row r="39" spans="2:18" s="61" customFormat="1" ht="15" customHeight="1">
      <c r="E39" s="82" t="s">
        <v>34</v>
      </c>
      <c r="F39" s="299">
        <f>F19</f>
        <v>271326.42000000004</v>
      </c>
      <c r="G39" s="88"/>
      <c r="I39" s="197"/>
      <c r="J39" s="13"/>
      <c r="K39" s="85"/>
      <c r="L39" s="161"/>
      <c r="M39" s="197"/>
    </row>
    <row r="40" spans="2:18" s="61" customFormat="1" ht="15" customHeight="1">
      <c r="E40" s="82" t="s">
        <v>35</v>
      </c>
      <c r="F40" s="299">
        <f>+E19</f>
        <v>744877.71000000008</v>
      </c>
      <c r="G40" s="88"/>
      <c r="I40" s="214"/>
      <c r="J40" s="13"/>
      <c r="K40" s="87"/>
      <c r="L40" s="161"/>
      <c r="M40" s="197"/>
      <c r="N40" s="272"/>
      <c r="P40" s="273"/>
      <c r="R40" s="273"/>
    </row>
    <row r="41" spans="2:18" s="61" customFormat="1" ht="15" customHeight="1">
      <c r="E41" s="82" t="s">
        <v>36</v>
      </c>
      <c r="F41" s="299">
        <v>0</v>
      </c>
      <c r="G41" s="13"/>
      <c r="I41" s="197"/>
      <c r="J41" s="13"/>
      <c r="M41" s="197"/>
    </row>
    <row r="42" spans="2:18" s="61" customFormat="1" ht="15" customHeight="1">
      <c r="E42" s="82" t="s">
        <v>37</v>
      </c>
      <c r="F42" s="299">
        <v>440000</v>
      </c>
      <c r="G42" s="13"/>
      <c r="I42" s="197"/>
      <c r="J42" s="13"/>
      <c r="M42" s="197"/>
      <c r="N42" s="272"/>
      <c r="P42" s="273"/>
      <c r="R42" s="273"/>
    </row>
    <row r="43" spans="2:18" s="61" customFormat="1" ht="15" customHeight="1">
      <c r="E43" s="112" t="s">
        <v>38</v>
      </c>
      <c r="F43" s="225">
        <f>SUM(F39:F42)</f>
        <v>1456204.1300000001</v>
      </c>
      <c r="G43" s="13"/>
      <c r="H43" s="163"/>
      <c r="I43" s="229"/>
      <c r="J43" s="13"/>
      <c r="M43" s="197"/>
    </row>
    <row r="44" spans="2:18" s="61" customFormat="1" ht="15" customHeight="1">
      <c r="E44" s="113"/>
      <c r="F44" s="226"/>
      <c r="G44" s="13"/>
      <c r="H44" s="165"/>
      <c r="I44" s="230"/>
      <c r="J44" s="13"/>
      <c r="M44" s="197"/>
      <c r="N44" s="272"/>
      <c r="P44" s="273"/>
      <c r="R44" s="273"/>
    </row>
    <row r="45" spans="2:18" s="61" customFormat="1" ht="15" customHeight="1">
      <c r="E45" s="113" t="s">
        <v>152</v>
      </c>
      <c r="F45" s="226">
        <v>230000</v>
      </c>
      <c r="G45" s="13"/>
      <c r="H45" s="165"/>
      <c r="I45" s="230"/>
      <c r="J45" s="13"/>
      <c r="M45" s="197"/>
      <c r="N45" s="272"/>
      <c r="P45" s="273"/>
      <c r="R45" s="273"/>
    </row>
    <row r="46" spans="2:18" s="61" customFormat="1" ht="15" customHeight="1">
      <c r="E46" s="113" t="s">
        <v>180</v>
      </c>
      <c r="F46" s="226">
        <v>75000</v>
      </c>
      <c r="G46" s="13"/>
      <c r="H46" s="165"/>
      <c r="I46" s="230"/>
      <c r="J46" s="13"/>
      <c r="M46" s="197"/>
      <c r="N46" s="272"/>
      <c r="P46" s="273"/>
      <c r="R46" s="273"/>
    </row>
    <row r="47" spans="2:18" s="61" customFormat="1" ht="15" customHeight="1">
      <c r="E47" s="113" t="s">
        <v>189</v>
      </c>
      <c r="F47" s="226">
        <v>1250000</v>
      </c>
      <c r="G47" s="13"/>
      <c r="H47" s="165"/>
      <c r="I47" s="230"/>
      <c r="J47" s="13"/>
      <c r="M47" s="197"/>
      <c r="N47" s="272"/>
      <c r="P47" s="273"/>
      <c r="R47" s="273"/>
    </row>
    <row r="48" spans="2:18" s="61" customFormat="1" ht="15" customHeight="1">
      <c r="E48" s="113" t="s">
        <v>78</v>
      </c>
      <c r="F48" s="226">
        <v>110000</v>
      </c>
      <c r="G48" s="13"/>
      <c r="H48" s="165"/>
      <c r="I48" s="230"/>
      <c r="J48" s="13"/>
      <c r="L48" s="165"/>
      <c r="M48" s="230"/>
      <c r="N48" s="272"/>
      <c r="P48" s="273"/>
      <c r="R48" s="273"/>
    </row>
    <row r="49" spans="2:13" s="61" customFormat="1" ht="15" customHeight="1">
      <c r="E49" s="113" t="s">
        <v>64</v>
      </c>
      <c r="F49" s="226">
        <v>150000</v>
      </c>
      <c r="G49" s="13"/>
      <c r="H49" s="165"/>
      <c r="I49" s="230"/>
      <c r="J49" s="13"/>
    </row>
    <row r="50" spans="2:13" s="61" customFormat="1" ht="15" customHeight="1">
      <c r="E50" s="116" t="s">
        <v>24</v>
      </c>
      <c r="F50" s="221">
        <f>15000+100000+65000+240000</f>
        <v>420000</v>
      </c>
      <c r="H50" s="91"/>
      <c r="I50" s="231"/>
      <c r="J50" s="13"/>
    </row>
    <row r="51" spans="2:13" s="61" customFormat="1" ht="15" customHeight="1">
      <c r="E51" s="116" t="s">
        <v>22</v>
      </c>
      <c r="F51" s="221">
        <v>50000</v>
      </c>
      <c r="H51" s="96"/>
      <c r="I51" s="231"/>
      <c r="J51" s="262"/>
    </row>
    <row r="52" spans="2:13" s="61" customFormat="1">
      <c r="E52" s="116" t="s">
        <v>40</v>
      </c>
      <c r="F52" s="226">
        <v>180000</v>
      </c>
      <c r="G52" s="83"/>
      <c r="H52" s="83"/>
      <c r="I52" s="228"/>
      <c r="J52" s="13"/>
    </row>
    <row r="53" spans="2:13" s="61" customFormat="1">
      <c r="E53" s="116" t="s">
        <v>385</v>
      </c>
      <c r="F53" s="226">
        <v>0</v>
      </c>
      <c r="G53" s="83"/>
      <c r="H53" s="83"/>
      <c r="I53" s="228"/>
      <c r="J53" s="13"/>
    </row>
    <row r="54" spans="2:13" s="61" customFormat="1">
      <c r="E54" s="116" t="s">
        <v>69</v>
      </c>
      <c r="F54" s="226">
        <v>60000</v>
      </c>
      <c r="G54" s="83"/>
      <c r="H54" s="83"/>
      <c r="I54" s="228"/>
      <c r="J54" s="13"/>
    </row>
    <row r="55" spans="2:13" s="61" customFormat="1">
      <c r="E55" s="118" t="s">
        <v>41</v>
      </c>
      <c r="F55" s="225">
        <f>SUM(F45:F54)</f>
        <v>2525000</v>
      </c>
      <c r="G55" s="83"/>
      <c r="H55" s="83"/>
      <c r="I55" s="233"/>
      <c r="J55" s="13"/>
    </row>
    <row r="56" spans="2:13" s="61" customFormat="1">
      <c r="E56" s="118" t="s">
        <v>42</v>
      </c>
      <c r="F56" s="225">
        <f>F43-F55</f>
        <v>-1068795.8699999999</v>
      </c>
      <c r="G56" s="83"/>
      <c r="H56" s="83"/>
      <c r="I56" s="233"/>
      <c r="J56" s="13"/>
    </row>
    <row r="57" spans="2:13" s="61" customFormat="1">
      <c r="E57" s="82"/>
      <c r="F57" s="80"/>
      <c r="G57" s="83"/>
      <c r="H57" s="83"/>
      <c r="I57" s="233"/>
      <c r="J57" s="13"/>
      <c r="L57" s="91"/>
      <c r="M57" s="232"/>
    </row>
    <row r="58" spans="2:13" s="61" customFormat="1">
      <c r="E58" s="82" t="s">
        <v>43</v>
      </c>
      <c r="F58" s="80">
        <v>0</v>
      </c>
      <c r="G58" s="83"/>
      <c r="H58" s="96"/>
      <c r="I58" s="228"/>
      <c r="J58" s="13"/>
      <c r="L58" s="91"/>
      <c r="M58" s="232"/>
    </row>
    <row r="59" spans="2:13" s="61" customFormat="1">
      <c r="E59" s="82" t="s">
        <v>44</v>
      </c>
      <c r="F59" s="80">
        <v>0</v>
      </c>
      <c r="G59" s="83"/>
      <c r="H59" s="96"/>
      <c r="I59" s="228"/>
      <c r="J59" s="13"/>
      <c r="L59" s="91"/>
      <c r="M59" s="232"/>
    </row>
    <row r="60" spans="2:13" s="61" customFormat="1">
      <c r="E60" s="82" t="s">
        <v>386</v>
      </c>
      <c r="F60" s="80">
        <v>3866.8</v>
      </c>
      <c r="G60" s="83"/>
      <c r="H60" s="83"/>
      <c r="I60" s="233"/>
      <c r="J60" s="13"/>
      <c r="L60" s="96"/>
      <c r="M60" s="231"/>
    </row>
    <row r="61" spans="2:13" s="61" customFormat="1">
      <c r="E61" s="82" t="s">
        <v>45</v>
      </c>
      <c r="F61" s="117">
        <v>993098.58</v>
      </c>
      <c r="H61" s="96"/>
      <c r="I61" s="219"/>
      <c r="J61" s="13"/>
      <c r="L61" s="96"/>
      <c r="M61" s="233"/>
    </row>
    <row r="62" spans="2:13" s="61" customFormat="1">
      <c r="E62" s="82" t="s">
        <v>205</v>
      </c>
      <c r="F62" s="117">
        <v>0</v>
      </c>
      <c r="J62" s="13"/>
    </row>
    <row r="63" spans="2:13" s="61" customFormat="1">
      <c r="B63"/>
      <c r="C63"/>
      <c r="D63"/>
      <c r="E63" s="82" t="s">
        <v>206</v>
      </c>
      <c r="F63" s="117">
        <v>1100000</v>
      </c>
      <c r="J63" s="13"/>
      <c r="L63" s="83"/>
      <c r="M63" s="228"/>
    </row>
    <row r="64" spans="2:13">
      <c r="E64" s="118" t="s">
        <v>46</v>
      </c>
      <c r="F64" s="120">
        <f>SUM(F58:F63)</f>
        <v>2096965.38</v>
      </c>
      <c r="G64" s="61"/>
      <c r="L64" s="61"/>
      <c r="M64" s="61"/>
    </row>
    <row r="65" spans="1:13">
      <c r="E65" s="82"/>
      <c r="F65" s="80"/>
      <c r="G65" s="61"/>
      <c r="L65" s="61"/>
      <c r="M65" s="61"/>
    </row>
    <row r="66" spans="1:13">
      <c r="E66" s="118" t="s">
        <v>47</v>
      </c>
      <c r="F66" s="120">
        <f>F56-F64</f>
        <v>-3165761.25</v>
      </c>
      <c r="G66" s="61"/>
    </row>
    <row r="67" spans="1:13">
      <c r="D67" s="247" t="s">
        <v>192</v>
      </c>
      <c r="E67" s="8"/>
      <c r="F67" s="220"/>
      <c r="G67" s="8"/>
    </row>
    <row r="68" spans="1:13">
      <c r="D68" s="247" t="s">
        <v>194</v>
      </c>
      <c r="E68" s="61"/>
      <c r="F68" s="219"/>
      <c r="G68" s="8"/>
    </row>
    <row r="69" spans="1:13">
      <c r="D69" s="8" t="s">
        <v>9</v>
      </c>
      <c r="E69" s="61"/>
      <c r="F69" s="219"/>
      <c r="G69" s="124">
        <f>SUM(E77:F77)</f>
        <v>0</v>
      </c>
    </row>
    <row r="70" spans="1:13">
      <c r="D70" s="8" t="s">
        <v>195</v>
      </c>
      <c r="E70" s="8"/>
      <c r="F70" s="220"/>
      <c r="G70" s="8"/>
    </row>
    <row r="71" spans="1:13">
      <c r="D71" s="8" t="s">
        <v>188</v>
      </c>
      <c r="E71" s="247"/>
      <c r="F71" s="247"/>
      <c r="G71" s="8"/>
    </row>
    <row r="72" spans="1:13">
      <c r="D72" s="8"/>
      <c r="E72" s="247"/>
      <c r="F72" s="248"/>
    </row>
    <row r="73" spans="1:13">
      <c r="E73" s="249"/>
      <c r="F73" s="246"/>
    </row>
    <row r="74" spans="1:13">
      <c r="E74" s="249"/>
      <c r="F74" s="287"/>
    </row>
    <row r="75" spans="1:13">
      <c r="E75" s="249"/>
      <c r="F75" s="287"/>
    </row>
    <row r="76" spans="1:13">
      <c r="E76" s="124"/>
      <c r="F76" s="287"/>
    </row>
    <row r="77" spans="1:13">
      <c r="E77" s="8"/>
    </row>
    <row r="78" spans="1:13">
      <c r="E78" s="8"/>
    </row>
    <row r="79" spans="1:13">
      <c r="A79" s="268"/>
      <c r="E79" s="8"/>
    </row>
    <row r="80" spans="1:13">
      <c r="E80" s="8"/>
    </row>
    <row r="81" spans="1:5">
      <c r="B81" s="235"/>
      <c r="E81" s="8"/>
    </row>
    <row r="82" spans="1:5">
      <c r="E82" s="8"/>
    </row>
    <row r="83" spans="1:5">
      <c r="E83" s="293"/>
    </row>
    <row r="84" spans="1:5">
      <c r="C84" s="155"/>
      <c r="E84" s="8"/>
    </row>
    <row r="85" spans="1:5">
      <c r="A85" s="269"/>
      <c r="E85" s="293"/>
    </row>
    <row r="86" spans="1:5">
      <c r="C86" s="155"/>
      <c r="E86" s="8"/>
    </row>
    <row r="87" spans="1:5">
      <c r="A87" s="269"/>
      <c r="E87" s="293"/>
    </row>
    <row r="88" spans="1:5">
      <c r="C88" s="155"/>
      <c r="E88" s="8"/>
    </row>
    <row r="89" spans="1:5">
      <c r="A89" s="269"/>
      <c r="E89" s="293"/>
    </row>
    <row r="90" spans="1:5">
      <c r="C90" s="155"/>
      <c r="E90" s="8"/>
    </row>
    <row r="91" spans="1:5">
      <c r="A91" s="269"/>
      <c r="E91" s="293"/>
    </row>
    <row r="92" spans="1:5">
      <c r="C92" s="155"/>
      <c r="E92" s="8"/>
    </row>
    <row r="93" spans="1:5">
      <c r="A93" s="269"/>
      <c r="E93" s="293"/>
    </row>
    <row r="94" spans="1:5">
      <c r="C94" s="155"/>
      <c r="E94" s="8"/>
    </row>
    <row r="95" spans="1:5">
      <c r="A95" s="269"/>
      <c r="E95" s="293"/>
    </row>
    <row r="96" spans="1:5">
      <c r="C96" s="155"/>
      <c r="E96" s="8"/>
    </row>
    <row r="97" spans="1:5">
      <c r="A97" s="269"/>
      <c r="E97" s="293"/>
    </row>
    <row r="98" spans="1:5">
      <c r="C98" s="155"/>
      <c r="E98" s="8"/>
    </row>
    <row r="99" spans="1:5">
      <c r="A99" s="269"/>
      <c r="E99" s="293"/>
    </row>
    <row r="100" spans="1:5">
      <c r="C100" s="155"/>
      <c r="E100" s="8"/>
    </row>
    <row r="101" spans="1:5">
      <c r="A101" s="269"/>
      <c r="E101" s="293"/>
    </row>
    <row r="102" spans="1:5">
      <c r="C102" s="155"/>
      <c r="E102" s="8"/>
    </row>
    <row r="103" spans="1:5">
      <c r="A103" s="269"/>
      <c r="E103" s="293"/>
    </row>
    <row r="104" spans="1:5">
      <c r="C104" s="155"/>
      <c r="E104" s="8"/>
    </row>
    <row r="105" spans="1:5">
      <c r="A105" s="269"/>
      <c r="E105" s="293"/>
    </row>
    <row r="106" spans="1:5">
      <c r="C106" s="155"/>
      <c r="E106" s="8"/>
    </row>
    <row r="107" spans="1:5">
      <c r="A107" s="269"/>
      <c r="E107" s="293"/>
    </row>
    <row r="108" spans="1:5">
      <c r="C108" s="155"/>
      <c r="E108" s="8"/>
    </row>
    <row r="109" spans="1:5">
      <c r="A109" s="269"/>
      <c r="E109" s="293"/>
    </row>
    <row r="110" spans="1:5">
      <c r="C110" s="155"/>
      <c r="E110" s="8"/>
    </row>
    <row r="111" spans="1:5">
      <c r="A111" s="269"/>
      <c r="E111" s="293"/>
    </row>
    <row r="112" spans="1:5">
      <c r="C112" s="155"/>
      <c r="E112" s="8"/>
    </row>
    <row r="113" spans="1:5">
      <c r="A113" s="269"/>
      <c r="E113" s="293"/>
    </row>
    <row r="114" spans="1:5">
      <c r="C114" s="155"/>
      <c r="E114" s="8"/>
    </row>
    <row r="115" spans="1:5">
      <c r="A115" s="269"/>
      <c r="E115" s="277"/>
    </row>
    <row r="116" spans="1:5">
      <c r="C116" s="155"/>
      <c r="E116" s="79"/>
    </row>
    <row r="117" spans="1:5">
      <c r="A117" s="269"/>
      <c r="E117" s="277"/>
    </row>
    <row r="118" spans="1:5">
      <c r="C118" s="155"/>
      <c r="E118" s="79"/>
    </row>
    <row r="119" spans="1:5">
      <c r="A119" s="269"/>
      <c r="E119" s="277"/>
    </row>
    <row r="120" spans="1:5">
      <c r="C120" s="155"/>
      <c r="E120" s="79"/>
    </row>
    <row r="121" spans="1:5">
      <c r="A121" s="269"/>
      <c r="E121" s="277"/>
    </row>
    <row r="122" spans="1:5">
      <c r="C122" s="155"/>
      <c r="E122" s="79"/>
    </row>
    <row r="123" spans="1:5">
      <c r="A123" s="269"/>
      <c r="E123" s="277"/>
    </row>
    <row r="124" spans="1:5">
      <c r="C124" s="155"/>
      <c r="E124" s="79"/>
    </row>
    <row r="125" spans="1:5">
      <c r="A125" s="269"/>
      <c r="E125" s="277"/>
    </row>
    <row r="126" spans="1:5">
      <c r="C126" s="155"/>
      <c r="E126" s="79"/>
    </row>
    <row r="127" spans="1:5">
      <c r="A127" s="269"/>
      <c r="E127" s="277"/>
    </row>
    <row r="128" spans="1:5">
      <c r="C128" s="155"/>
    </row>
    <row r="129" spans="1:5">
      <c r="A129" s="269"/>
      <c r="E129" s="155"/>
    </row>
    <row r="130" spans="1:5">
      <c r="C130" s="155"/>
    </row>
    <row r="131" spans="1:5">
      <c r="A131" s="269"/>
      <c r="E131" s="155"/>
    </row>
    <row r="132" spans="1:5">
      <c r="C132" s="155"/>
    </row>
    <row r="133" spans="1:5">
      <c r="A133" s="269"/>
      <c r="E133" s="155"/>
    </row>
    <row r="134" spans="1:5">
      <c r="C134" s="155"/>
    </row>
    <row r="135" spans="1:5">
      <c r="A135" s="269"/>
      <c r="E135" s="155"/>
    </row>
    <row r="136" spans="1:5">
      <c r="C136" s="155"/>
    </row>
    <row r="137" spans="1:5">
      <c r="A137" s="269"/>
      <c r="E137" s="155"/>
    </row>
    <row r="138" spans="1:5">
      <c r="C138" s="155"/>
    </row>
    <row r="139" spans="1:5">
      <c r="A139" s="269"/>
      <c r="E139" s="155"/>
    </row>
    <row r="140" spans="1:5">
      <c r="C140" s="155"/>
    </row>
    <row r="141" spans="1:5">
      <c r="A141" s="269"/>
      <c r="E141" s="155"/>
    </row>
    <row r="142" spans="1:5">
      <c r="C142" s="155"/>
    </row>
    <row r="143" spans="1:5">
      <c r="A143" s="269"/>
      <c r="E143" s="155"/>
    </row>
    <row r="144" spans="1:5">
      <c r="C144" s="155"/>
    </row>
    <row r="145" spans="1:5">
      <c r="A145" s="269"/>
      <c r="E145" s="155"/>
    </row>
    <row r="146" spans="1:5">
      <c r="C146" s="155"/>
    </row>
    <row r="147" spans="1:5">
      <c r="A147" s="269"/>
      <c r="E147" s="155"/>
    </row>
    <row r="148" spans="1:5">
      <c r="C148" s="155"/>
    </row>
    <row r="149" spans="1:5">
      <c r="A149" s="269"/>
      <c r="E149" s="155"/>
    </row>
    <row r="150" spans="1:5">
      <c r="C150" s="155"/>
    </row>
    <row r="151" spans="1:5">
      <c r="A151" s="269"/>
      <c r="E151" s="155"/>
    </row>
    <row r="152" spans="1:5">
      <c r="C152" s="155"/>
    </row>
    <row r="153" spans="1:5">
      <c r="A153" s="269"/>
      <c r="E153" s="155"/>
    </row>
    <row r="154" spans="1:5">
      <c r="C154" s="155"/>
    </row>
    <row r="155" spans="1:5">
      <c r="A155" s="269"/>
      <c r="E155" s="155"/>
    </row>
    <row r="156" spans="1:5">
      <c r="C156" s="155"/>
    </row>
    <row r="157" spans="1:5">
      <c r="A157" s="269"/>
      <c r="E157" s="155"/>
    </row>
    <row r="158" spans="1:5">
      <c r="C158" s="155"/>
    </row>
    <row r="159" spans="1:5">
      <c r="A159" s="269"/>
      <c r="E159" s="155"/>
    </row>
    <row r="160" spans="1:5">
      <c r="C160" s="155"/>
    </row>
    <row r="161" spans="1:5">
      <c r="A161" s="269"/>
      <c r="E161" s="155"/>
    </row>
    <row r="162" spans="1:5">
      <c r="C162" s="155"/>
    </row>
    <row r="163" spans="1:5">
      <c r="A163" s="269"/>
      <c r="E163" s="155"/>
    </row>
    <row r="164" spans="1:5">
      <c r="C164" s="155"/>
    </row>
    <row r="165" spans="1:5">
      <c r="A165" s="269"/>
      <c r="E165" s="155"/>
    </row>
    <row r="166" spans="1:5">
      <c r="C166" s="155"/>
    </row>
    <row r="167" spans="1:5">
      <c r="A167" s="269"/>
      <c r="E167" s="155"/>
    </row>
    <row r="168" spans="1:5">
      <c r="C168" s="155"/>
    </row>
    <row r="169" spans="1:5">
      <c r="A169" s="269"/>
      <c r="E169" s="155"/>
    </row>
    <row r="170" spans="1:5">
      <c r="C170" s="155"/>
    </row>
    <row r="171" spans="1:5">
      <c r="A171" s="269"/>
      <c r="E171" s="155"/>
    </row>
    <row r="172" spans="1:5">
      <c r="C172" s="155"/>
    </row>
    <row r="173" spans="1:5">
      <c r="A173" s="269"/>
      <c r="E173" s="155"/>
    </row>
    <row r="174" spans="1:5">
      <c r="C174" s="155"/>
    </row>
    <row r="175" spans="1:5">
      <c r="A175" s="269"/>
      <c r="E175" s="155"/>
    </row>
    <row r="176" spans="1:5">
      <c r="C176" s="155"/>
    </row>
    <row r="177" spans="1:5">
      <c r="A177" s="269"/>
      <c r="E177" s="155"/>
    </row>
    <row r="178" spans="1:5">
      <c r="C178" s="155"/>
    </row>
    <row r="179" spans="1:5">
      <c r="A179" s="269"/>
      <c r="E179" s="155"/>
    </row>
    <row r="180" spans="1:5">
      <c r="C180" s="155"/>
    </row>
    <row r="181" spans="1:5">
      <c r="A181" s="269"/>
      <c r="E181" s="155"/>
    </row>
    <row r="182" spans="1:5">
      <c r="C182" s="155"/>
    </row>
    <row r="183" spans="1:5">
      <c r="A183" s="269"/>
      <c r="E183" s="155"/>
    </row>
    <row r="184" spans="1:5">
      <c r="C184" s="155"/>
    </row>
    <row r="185" spans="1:5">
      <c r="A185" s="269"/>
      <c r="E185" s="155"/>
    </row>
    <row r="186" spans="1:5">
      <c r="C186" s="155"/>
    </row>
    <row r="187" spans="1:5">
      <c r="A187" s="269"/>
      <c r="E187" s="155"/>
    </row>
    <row r="188" spans="1:5">
      <c r="C188" s="155"/>
    </row>
    <row r="189" spans="1:5">
      <c r="A189" s="269"/>
      <c r="E189" s="155"/>
    </row>
    <row r="190" spans="1:5">
      <c r="C190" s="155"/>
    </row>
    <row r="191" spans="1:5">
      <c r="A191" s="269"/>
      <c r="E191" s="155"/>
    </row>
    <row r="192" spans="1:5">
      <c r="C192" s="155"/>
    </row>
    <row r="193" spans="1:5">
      <c r="A193" s="269"/>
      <c r="E193" s="155"/>
    </row>
    <row r="194" spans="1:5">
      <c r="C194" s="155"/>
    </row>
    <row r="195" spans="1:5">
      <c r="A195" s="269"/>
      <c r="E195" s="155"/>
    </row>
    <row r="196" spans="1:5">
      <c r="C196" s="155"/>
    </row>
    <row r="197" spans="1:5">
      <c r="A197" s="269"/>
      <c r="E197" s="155"/>
    </row>
    <row r="198" spans="1:5">
      <c r="C198" s="155"/>
    </row>
    <row r="199" spans="1:5">
      <c r="A199" s="269"/>
      <c r="E199" s="155"/>
    </row>
    <row r="200" spans="1:5">
      <c r="C200" s="155"/>
    </row>
    <row r="201" spans="1:5">
      <c r="A201" s="269"/>
      <c r="E201" s="155"/>
    </row>
    <row r="202" spans="1:5">
      <c r="C202" s="155"/>
    </row>
    <row r="203" spans="1:5">
      <c r="A203" s="269"/>
      <c r="E203" s="155"/>
    </row>
    <row r="204" spans="1:5">
      <c r="D204" s="155"/>
    </row>
    <row r="205" spans="1:5">
      <c r="A205" s="269"/>
      <c r="E205" s="155"/>
    </row>
    <row r="206" spans="1:5">
      <c r="C206" s="155"/>
    </row>
    <row r="207" spans="1:5">
      <c r="A207" s="269"/>
      <c r="E207" s="155"/>
    </row>
    <row r="208" spans="1:5">
      <c r="C208" s="155"/>
    </row>
    <row r="209" spans="1:5">
      <c r="A209" s="269"/>
      <c r="E209" s="155"/>
    </row>
    <row r="210" spans="1:5">
      <c r="C210" s="155"/>
    </row>
    <row r="211" spans="1:5">
      <c r="A211" s="269"/>
      <c r="E211" s="155"/>
    </row>
    <row r="212" spans="1:5">
      <c r="C212" s="155"/>
    </row>
    <row r="213" spans="1:5">
      <c r="A213" s="269"/>
      <c r="E213" s="155"/>
    </row>
    <row r="214" spans="1:5">
      <c r="C214" s="155"/>
    </row>
    <row r="215" spans="1:5">
      <c r="A215" s="269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AFA1A-26FE-4B96-A58E-E77C50E3AC2C}">
  <dimension ref="A6:R215"/>
  <sheetViews>
    <sheetView showGridLines="0" topLeftCell="A12" workbookViewId="0">
      <selection activeCell="A12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</row>
    <row r="12" spans="1:12" ht="19" thickBot="1">
      <c r="A12" s="1"/>
      <c r="B12" s="331" t="s">
        <v>2</v>
      </c>
      <c r="C12" s="332"/>
      <c r="D12" s="332"/>
      <c r="E12" s="333"/>
      <c r="F12" s="295"/>
      <c r="G12" s="296"/>
      <c r="H12" s="1"/>
      <c r="I12" s="1"/>
      <c r="J12" s="76"/>
      <c r="K12" s="1"/>
    </row>
    <row r="13" spans="1:12" ht="18" thickBot="1">
      <c r="A13" s="1"/>
      <c r="B13" s="1"/>
      <c r="C13" s="1"/>
      <c r="D13" s="1"/>
      <c r="E13" s="1"/>
      <c r="F13" s="215"/>
      <c r="G13" s="11"/>
      <c r="H13" s="11"/>
      <c r="I13" s="11"/>
      <c r="J13" s="15"/>
      <c r="K13" s="16"/>
    </row>
    <row r="14" spans="1:12" ht="18" thickBot="1">
      <c r="A14" s="11"/>
      <c r="B14" s="334" t="s">
        <v>3</v>
      </c>
      <c r="C14" s="335"/>
      <c r="D14" s="336"/>
      <c r="E14" s="17">
        <f>SUM(E15:E17)</f>
        <v>286530.62</v>
      </c>
      <c r="F14" s="264"/>
      <c r="G14" s="331" t="s">
        <v>4</v>
      </c>
      <c r="H14" s="332"/>
      <c r="I14" s="332"/>
      <c r="J14" s="332"/>
      <c r="K14" s="333"/>
      <c r="L14" s="13"/>
    </row>
    <row r="15" spans="1:12">
      <c r="A15" s="1"/>
      <c r="B15" s="337" t="s">
        <v>5</v>
      </c>
      <c r="C15" s="338"/>
      <c r="D15" s="339"/>
      <c r="E15" s="20">
        <f>J16+J17+J18+J19</f>
        <v>93794.170000000013</v>
      </c>
      <c r="F15" s="153"/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41012.600000000006</v>
      </c>
      <c r="F16" s="153"/>
      <c r="G16" s="22">
        <v>33128.54</v>
      </c>
      <c r="H16" s="23" t="s">
        <v>8</v>
      </c>
      <c r="I16" s="24"/>
      <c r="J16" s="25">
        <v>35081.26</v>
      </c>
      <c r="K16" s="26" t="s">
        <v>9</v>
      </c>
      <c r="L16" s="19"/>
    </row>
    <row r="17" spans="1:18">
      <c r="A17" s="1"/>
      <c r="B17" s="352" t="s">
        <v>6</v>
      </c>
      <c r="C17" s="353"/>
      <c r="D17" s="354"/>
      <c r="E17" s="28">
        <f>G16+G17+G18</f>
        <v>151723.84999999998</v>
      </c>
      <c r="F17" s="153">
        <f>E15+E16+E17</f>
        <v>286530.62</v>
      </c>
      <c r="G17" s="22">
        <v>39482.949999999997</v>
      </c>
      <c r="H17" s="29" t="s">
        <v>10</v>
      </c>
      <c r="I17" s="30"/>
      <c r="J17" s="25">
        <v>17069.330000000002</v>
      </c>
      <c r="K17" s="31" t="s">
        <v>10</v>
      </c>
      <c r="L17" s="13"/>
    </row>
    <row r="18" spans="1:18">
      <c r="A18" s="1"/>
      <c r="B18" s="236" t="s">
        <v>187</v>
      </c>
      <c r="C18" s="237"/>
      <c r="D18" s="238"/>
      <c r="E18" s="28">
        <f>+J22</f>
        <v>23147.18</v>
      </c>
      <c r="F18" s="153">
        <v>90000</v>
      </c>
      <c r="G18" s="22">
        <v>79112.36</v>
      </c>
      <c r="H18" s="29" t="s">
        <v>12</v>
      </c>
      <c r="I18" s="30"/>
      <c r="J18" s="25">
        <v>27122.9</v>
      </c>
      <c r="K18" s="31" t="s">
        <v>12</v>
      </c>
      <c r="L18" s="13"/>
      <c r="N18" s="3"/>
    </row>
    <row r="19" spans="1:18">
      <c r="B19" s="379" t="s">
        <v>11</v>
      </c>
      <c r="C19" s="380"/>
      <c r="D19" s="381"/>
      <c r="E19" s="20">
        <f>G29+G31+G30+G28</f>
        <v>724985.08</v>
      </c>
      <c r="F19" s="153">
        <f>+F17-F18</f>
        <v>196530.62</v>
      </c>
      <c r="G19" s="33"/>
      <c r="H19" s="34"/>
      <c r="I19" s="30"/>
      <c r="J19" s="25">
        <v>14520.68</v>
      </c>
      <c r="K19" s="31" t="s">
        <v>14</v>
      </c>
      <c r="N19" s="3"/>
    </row>
    <row r="20" spans="1:18">
      <c r="B20" s="344" t="s">
        <v>13</v>
      </c>
      <c r="C20" s="345"/>
      <c r="D20" s="346"/>
      <c r="E20" s="20">
        <v>19309582.870000001</v>
      </c>
      <c r="F20" s="153"/>
      <c r="G20" s="239"/>
      <c r="H20" s="240"/>
      <c r="I20" s="30"/>
      <c r="J20" s="25"/>
      <c r="K20" s="31"/>
      <c r="L20" s="152"/>
      <c r="N20" s="3"/>
    </row>
    <row r="21" spans="1:18">
      <c r="B21" s="187" t="s">
        <v>15</v>
      </c>
      <c r="C21" s="188"/>
      <c r="D21" s="189"/>
      <c r="E21" s="190">
        <f>SUM(E22:E25)</f>
        <v>10962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  <c r="N21" s="268"/>
    </row>
    <row r="22" spans="1:18">
      <c r="B22" s="187"/>
      <c r="C22" s="188"/>
      <c r="D22" s="300" t="s">
        <v>367</v>
      </c>
      <c r="E22" s="190">
        <v>10962</v>
      </c>
      <c r="F22" s="153"/>
      <c r="G22" s="44">
        <v>20030.240000000002</v>
      </c>
      <c r="H22" s="29" t="s">
        <v>10</v>
      </c>
      <c r="I22" s="30"/>
      <c r="J22" s="25">
        <v>23147.18</v>
      </c>
      <c r="K22" s="31" t="s">
        <v>188</v>
      </c>
      <c r="L22" s="294"/>
      <c r="M22" s="294"/>
    </row>
    <row r="23" spans="1:18">
      <c r="B23" s="187"/>
      <c r="C23" s="188"/>
      <c r="D23" s="198"/>
      <c r="E23" s="190">
        <v>0</v>
      </c>
      <c r="F23" s="153"/>
      <c r="G23" s="44">
        <v>20982.36</v>
      </c>
      <c r="H23" s="29" t="s">
        <v>18</v>
      </c>
      <c r="I23" s="30"/>
      <c r="J23" s="25"/>
      <c r="K23" s="31"/>
      <c r="L23" s="294"/>
      <c r="M23" s="294"/>
    </row>
    <row r="24" spans="1:18" ht="15" thickBot="1">
      <c r="B24" s="187"/>
      <c r="C24" s="188"/>
      <c r="D24" s="198"/>
      <c r="E24" s="190">
        <v>0</v>
      </c>
      <c r="F24" s="153"/>
      <c r="G24" s="51"/>
      <c r="H24" s="34"/>
      <c r="I24" s="30"/>
      <c r="J24" s="210"/>
      <c r="K24" s="53"/>
      <c r="L24" s="294"/>
      <c r="M24" s="294"/>
      <c r="O24" s="235"/>
    </row>
    <row r="25" spans="1:18" ht="15" thickBot="1">
      <c r="B25" s="187"/>
      <c r="C25" s="188"/>
      <c r="D25" s="198"/>
      <c r="E25" s="190">
        <v>0</v>
      </c>
      <c r="F25" s="153"/>
      <c r="G25" s="331" t="s">
        <v>21</v>
      </c>
      <c r="H25" s="332"/>
      <c r="I25" s="332"/>
      <c r="J25" s="332"/>
      <c r="K25" s="333"/>
    </row>
    <row r="26" spans="1:18">
      <c r="B26" s="202" t="s">
        <v>17</v>
      </c>
      <c r="C26" s="203"/>
      <c r="D26" s="204"/>
      <c r="E26" s="234">
        <v>0</v>
      </c>
      <c r="F26" s="220"/>
      <c r="G26" s="54"/>
      <c r="H26" s="55"/>
      <c r="I26" s="56"/>
      <c r="J26" s="211"/>
      <c r="K26" s="58"/>
      <c r="N26" s="290"/>
    </row>
    <row r="27" spans="1:18">
      <c r="B27" s="202" t="s">
        <v>163</v>
      </c>
      <c r="C27" s="203"/>
      <c r="D27" s="204"/>
      <c r="E27" s="234">
        <f>1250000+110000</f>
        <v>1360000</v>
      </c>
      <c r="F27" s="153">
        <f>+F19-E26</f>
        <v>196530.62</v>
      </c>
      <c r="G27" s="377" t="s">
        <v>5</v>
      </c>
      <c r="H27" s="378"/>
      <c r="I27" s="59"/>
      <c r="J27" s="60"/>
      <c r="K27" s="45"/>
      <c r="N27" s="290"/>
      <c r="Q27" s="155"/>
      <c r="R27" s="155"/>
    </row>
    <row r="28" spans="1:18">
      <c r="B28" s="199" t="s">
        <v>22</v>
      </c>
      <c r="C28" s="200"/>
      <c r="D28" s="201"/>
      <c r="E28" s="234">
        <v>1550.8</v>
      </c>
      <c r="F28" s="288">
        <f>SUM(E26:E32)</f>
        <v>1781550.8</v>
      </c>
      <c r="G28" s="22">
        <v>4175.46</v>
      </c>
      <c r="H28" s="62" t="s">
        <v>9</v>
      </c>
      <c r="I28" s="59"/>
      <c r="J28" s="60"/>
      <c r="K28" s="45"/>
      <c r="N28" s="290"/>
      <c r="P28" s="155"/>
      <c r="R28" s="155"/>
    </row>
    <row r="29" spans="1:18">
      <c r="B29" s="199" t="s">
        <v>50</v>
      </c>
      <c r="C29" s="200"/>
      <c r="D29" s="201"/>
      <c r="E29" s="234">
        <v>0</v>
      </c>
      <c r="F29" s="153">
        <f>+F27-F28</f>
        <v>-1585020.1800000002</v>
      </c>
      <c r="G29" s="22">
        <v>551654.22</v>
      </c>
      <c r="H29" s="62" t="s">
        <v>26</v>
      </c>
      <c r="I29" s="63"/>
      <c r="J29" s="64" t="s">
        <v>27</v>
      </c>
      <c r="K29" s="65" t="s">
        <v>28</v>
      </c>
      <c r="M29" s="291"/>
      <c r="N29" s="292"/>
    </row>
    <row r="30" spans="1:18">
      <c r="B30" s="199" t="s">
        <v>24</v>
      </c>
      <c r="C30" s="200"/>
      <c r="D30" s="201"/>
      <c r="E30" s="49">
        <v>420000</v>
      </c>
      <c r="F30" s="221"/>
      <c r="G30" s="67">
        <v>161896.6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1:18" ht="15" thickBot="1">
      <c r="B31" s="344" t="s">
        <v>69</v>
      </c>
      <c r="C31" s="345"/>
      <c r="D31" s="346"/>
      <c r="E31" s="234">
        <v>0</v>
      </c>
      <c r="F31" s="220"/>
      <c r="G31" s="71">
        <v>7258.8</v>
      </c>
      <c r="H31" s="72" t="s">
        <v>12</v>
      </c>
      <c r="I31" s="73"/>
      <c r="J31" s="74" t="s">
        <v>32</v>
      </c>
      <c r="K31" s="75" t="s">
        <v>33</v>
      </c>
    </row>
    <row r="32" spans="1:18" ht="15" thickBot="1">
      <c r="B32" s="363" t="s">
        <v>29</v>
      </c>
      <c r="C32" s="364"/>
      <c r="D32" s="365"/>
      <c r="E32" s="66">
        <v>0</v>
      </c>
      <c r="F32" s="220"/>
      <c r="N32" s="269"/>
      <c r="P32" s="155"/>
      <c r="R32" s="155"/>
    </row>
    <row r="33" spans="2:18">
      <c r="E33" s="61"/>
      <c r="F33" s="219"/>
    </row>
    <row r="34" spans="2:18">
      <c r="E34" s="61"/>
      <c r="F34" s="219"/>
      <c r="H34" s="61"/>
      <c r="I34" s="61"/>
      <c r="J34" s="39"/>
      <c r="K34" s="61"/>
      <c r="N34" s="269"/>
      <c r="P34" s="155"/>
      <c r="R34" s="155"/>
    </row>
    <row r="35" spans="2:18">
      <c r="E35" s="61"/>
      <c r="F35" s="219"/>
      <c r="G35" s="8"/>
      <c r="H35" s="61"/>
      <c r="I35" s="61"/>
      <c r="J35" s="39"/>
      <c r="K35" s="61"/>
    </row>
    <row r="36" spans="2:18">
      <c r="E36" s="61"/>
      <c r="F36" s="219"/>
      <c r="G36" s="8"/>
      <c r="H36" s="13"/>
      <c r="I36" s="61"/>
      <c r="J36" s="13"/>
      <c r="K36" s="83"/>
      <c r="L36" s="61"/>
      <c r="M36" s="61"/>
      <c r="N36" s="269"/>
      <c r="P36" s="155"/>
      <c r="R36" s="155"/>
    </row>
    <row r="37" spans="2:18">
      <c r="B37" s="61"/>
      <c r="C37" s="61"/>
      <c r="D37" s="61"/>
      <c r="E37" s="110" t="s">
        <v>384</v>
      </c>
      <c r="F37" s="299"/>
      <c r="G37" s="181"/>
      <c r="H37" s="161"/>
      <c r="I37" s="197"/>
      <c r="J37" s="13"/>
      <c r="K37" s="83"/>
      <c r="L37" s="61"/>
      <c r="M37" s="61"/>
    </row>
    <row r="38" spans="2:18" s="61" customFormat="1" ht="15" customHeight="1">
      <c r="E38" s="110"/>
      <c r="F38" s="299"/>
      <c r="G38" s="86"/>
      <c r="H38" s="161"/>
      <c r="I38" s="197"/>
      <c r="J38" s="13"/>
      <c r="K38" s="83"/>
      <c r="L38" s="88"/>
      <c r="N38" s="272"/>
      <c r="P38" s="273"/>
      <c r="R38" s="273"/>
    </row>
    <row r="39" spans="2:18" s="61" customFormat="1" ht="15" customHeight="1">
      <c r="E39" s="82" t="s">
        <v>34</v>
      </c>
      <c r="F39" s="299">
        <f>F19</f>
        <v>196530.62</v>
      </c>
      <c r="G39" s="88"/>
      <c r="I39" s="197"/>
      <c r="J39" s="13"/>
      <c r="K39" s="85"/>
      <c r="L39" s="161"/>
      <c r="M39" s="197"/>
    </row>
    <row r="40" spans="2:18" s="61" customFormat="1" ht="15" customHeight="1">
      <c r="E40" s="82" t="s">
        <v>35</v>
      </c>
      <c r="F40" s="299">
        <f>+E19</f>
        <v>724985.08</v>
      </c>
      <c r="G40" s="88"/>
      <c r="I40" s="214"/>
      <c r="J40" s="13"/>
      <c r="K40" s="87"/>
      <c r="L40" s="161"/>
      <c r="M40" s="197"/>
      <c r="N40" s="272"/>
      <c r="P40" s="273"/>
      <c r="R40" s="273"/>
    </row>
    <row r="41" spans="2:18" s="61" customFormat="1" ht="15" customHeight="1">
      <c r="E41" s="82" t="s">
        <v>36</v>
      </c>
      <c r="F41" s="299">
        <v>0</v>
      </c>
      <c r="G41" s="13"/>
      <c r="I41" s="197"/>
      <c r="J41" s="13"/>
      <c r="M41" s="197"/>
    </row>
    <row r="42" spans="2:18" s="61" customFormat="1" ht="15" customHeight="1">
      <c r="E42" s="82" t="s">
        <v>37</v>
      </c>
      <c r="F42" s="299">
        <v>440000</v>
      </c>
      <c r="G42" s="13"/>
      <c r="I42" s="197"/>
      <c r="J42" s="13"/>
      <c r="M42" s="197"/>
      <c r="N42" s="272"/>
      <c r="P42" s="273"/>
      <c r="R42" s="273"/>
    </row>
    <row r="43" spans="2:18" s="61" customFormat="1" ht="15" customHeight="1">
      <c r="E43" s="112" t="s">
        <v>38</v>
      </c>
      <c r="F43" s="225">
        <f>SUM(F39:F42)</f>
        <v>1361515.7</v>
      </c>
      <c r="G43" s="13"/>
      <c r="H43" s="163"/>
      <c r="I43" s="229"/>
      <c r="J43" s="13"/>
      <c r="M43" s="197"/>
    </row>
    <row r="44" spans="2:18" s="61" customFormat="1" ht="15" customHeight="1">
      <c r="E44" s="113"/>
      <c r="F44" s="226"/>
      <c r="G44" s="13"/>
      <c r="H44" s="165"/>
      <c r="I44" s="230"/>
      <c r="J44" s="13"/>
      <c r="M44" s="197"/>
      <c r="N44" s="272"/>
      <c r="P44" s="273"/>
      <c r="R44" s="273"/>
    </row>
    <row r="45" spans="2:18" s="61" customFormat="1" ht="15" customHeight="1">
      <c r="E45" s="113" t="s">
        <v>152</v>
      </c>
      <c r="F45" s="226">
        <v>230000</v>
      </c>
      <c r="G45" s="13"/>
      <c r="H45" s="165"/>
      <c r="I45" s="230"/>
      <c r="J45" s="13"/>
      <c r="M45" s="197"/>
      <c r="N45" s="272"/>
      <c r="P45" s="273"/>
      <c r="R45" s="273"/>
    </row>
    <row r="46" spans="2:18" s="61" customFormat="1" ht="15" customHeight="1">
      <c r="E46" s="113" t="s">
        <v>180</v>
      </c>
      <c r="F46" s="226">
        <v>0</v>
      </c>
      <c r="G46" s="13"/>
      <c r="H46" s="165"/>
      <c r="I46" s="230"/>
      <c r="J46" s="13"/>
      <c r="M46" s="197"/>
      <c r="N46" s="272"/>
      <c r="P46" s="273"/>
      <c r="R46" s="273"/>
    </row>
    <row r="47" spans="2:18" s="61" customFormat="1" ht="15" customHeight="1">
      <c r="E47" s="113" t="s">
        <v>189</v>
      </c>
      <c r="F47" s="226">
        <v>1250000</v>
      </c>
      <c r="G47" s="13"/>
      <c r="H47" s="165"/>
      <c r="I47" s="230"/>
      <c r="J47" s="13"/>
      <c r="M47" s="197"/>
      <c r="N47" s="272"/>
      <c r="P47" s="273"/>
      <c r="R47" s="273"/>
    </row>
    <row r="48" spans="2:18" s="61" customFormat="1" ht="15" customHeight="1">
      <c r="E48" s="113" t="s">
        <v>78</v>
      </c>
      <c r="F48" s="226">
        <v>110000</v>
      </c>
      <c r="G48" s="13"/>
      <c r="H48" s="165"/>
      <c r="I48" s="230"/>
      <c r="J48" s="13"/>
      <c r="L48" s="165"/>
      <c r="M48" s="230"/>
      <c r="N48" s="272"/>
      <c r="P48" s="273"/>
      <c r="R48" s="273"/>
    </row>
    <row r="49" spans="2:13" s="61" customFormat="1" ht="15" customHeight="1">
      <c r="E49" s="113" t="s">
        <v>64</v>
      </c>
      <c r="F49" s="226">
        <v>0</v>
      </c>
      <c r="G49" s="13"/>
      <c r="H49" s="165"/>
      <c r="I49" s="230"/>
      <c r="J49" s="13"/>
    </row>
    <row r="50" spans="2:13" s="61" customFormat="1" ht="15" customHeight="1">
      <c r="E50" s="116" t="s">
        <v>24</v>
      </c>
      <c r="F50" s="221">
        <f>15000+100000+65000+240000</f>
        <v>420000</v>
      </c>
      <c r="H50" s="91"/>
      <c r="I50" s="231"/>
      <c r="J50" s="13"/>
    </row>
    <row r="51" spans="2:13" s="61" customFormat="1" ht="15" customHeight="1">
      <c r="E51" s="116" t="s">
        <v>22</v>
      </c>
      <c r="F51" s="221">
        <v>50000</v>
      </c>
      <c r="H51" s="96"/>
      <c r="I51" s="231"/>
      <c r="J51" s="262"/>
    </row>
    <row r="52" spans="2:13" s="61" customFormat="1">
      <c r="E52" s="116" t="s">
        <v>40</v>
      </c>
      <c r="F52" s="226">
        <v>180000</v>
      </c>
      <c r="G52" s="83"/>
      <c r="H52" s="83"/>
      <c r="I52" s="228"/>
      <c r="J52" s="13"/>
    </row>
    <row r="53" spans="2:13" s="61" customFormat="1">
      <c r="E53" s="116" t="s">
        <v>385</v>
      </c>
      <c r="F53" s="226">
        <v>0</v>
      </c>
      <c r="G53" s="83"/>
      <c r="H53" s="83"/>
      <c r="I53" s="228"/>
      <c r="J53" s="13"/>
    </row>
    <row r="54" spans="2:13" s="61" customFormat="1">
      <c r="E54" s="116" t="s">
        <v>69</v>
      </c>
      <c r="F54" s="226">
        <v>60000</v>
      </c>
      <c r="G54" s="83"/>
      <c r="H54" s="83"/>
      <c r="I54" s="228"/>
      <c r="J54" s="13"/>
    </row>
    <row r="55" spans="2:13" s="61" customFormat="1">
      <c r="E55" s="118" t="s">
        <v>41</v>
      </c>
      <c r="F55" s="225">
        <f>SUM(F45:F54)</f>
        <v>2300000</v>
      </c>
      <c r="G55" s="83"/>
      <c r="H55" s="83"/>
      <c r="I55" s="233"/>
      <c r="J55" s="13"/>
    </row>
    <row r="56" spans="2:13" s="61" customFormat="1">
      <c r="E56" s="118" t="s">
        <v>42</v>
      </c>
      <c r="F56" s="225">
        <f>F43-F55</f>
        <v>-938484.3</v>
      </c>
      <c r="G56" s="83"/>
      <c r="H56" s="83"/>
      <c r="I56" s="233"/>
      <c r="J56" s="13"/>
    </row>
    <row r="57" spans="2:13" s="61" customFormat="1">
      <c r="E57" s="82"/>
      <c r="F57" s="80"/>
      <c r="G57" s="83"/>
      <c r="H57" s="83"/>
      <c r="I57" s="233"/>
      <c r="J57" s="13"/>
      <c r="L57" s="91"/>
      <c r="M57" s="232"/>
    </row>
    <row r="58" spans="2:13" s="61" customFormat="1">
      <c r="E58" s="82" t="s">
        <v>43</v>
      </c>
      <c r="F58" s="80">
        <v>0</v>
      </c>
      <c r="G58" s="83"/>
      <c r="H58" s="96"/>
      <c r="I58" s="228"/>
      <c r="J58" s="13"/>
      <c r="L58" s="91"/>
      <c r="M58" s="232"/>
    </row>
    <row r="59" spans="2:13" s="61" customFormat="1">
      <c r="E59" s="82" t="s">
        <v>44</v>
      </c>
      <c r="F59" s="80">
        <v>0</v>
      </c>
      <c r="G59" s="83"/>
      <c r="H59" s="96"/>
      <c r="I59" s="228"/>
      <c r="J59" s="13"/>
      <c r="L59" s="91"/>
      <c r="M59" s="232"/>
    </row>
    <row r="60" spans="2:13" s="61" customFormat="1">
      <c r="E60" s="82" t="s">
        <v>386</v>
      </c>
      <c r="F60" s="80">
        <v>3866.8</v>
      </c>
      <c r="G60" s="83"/>
      <c r="H60" s="83"/>
      <c r="I60" s="233"/>
      <c r="J60" s="13"/>
      <c r="L60" s="96"/>
      <c r="M60" s="231"/>
    </row>
    <row r="61" spans="2:13" s="61" customFormat="1">
      <c r="E61" s="82" t="s">
        <v>45</v>
      </c>
      <c r="F61" s="117">
        <v>993098.58</v>
      </c>
      <c r="H61" s="96"/>
      <c r="I61" s="219"/>
      <c r="J61" s="13"/>
      <c r="L61" s="96"/>
      <c r="M61" s="233"/>
    </row>
    <row r="62" spans="2:13" s="61" customFormat="1">
      <c r="E62" s="82" t="s">
        <v>205</v>
      </c>
      <c r="F62" s="117">
        <v>0</v>
      </c>
      <c r="J62" s="13"/>
    </row>
    <row r="63" spans="2:13" s="61" customFormat="1">
      <c r="B63"/>
      <c r="C63"/>
      <c r="D63"/>
      <c r="E63" s="82" t="s">
        <v>206</v>
      </c>
      <c r="F63" s="117">
        <v>1100000</v>
      </c>
      <c r="J63" s="13"/>
      <c r="L63" s="83"/>
      <c r="M63" s="228"/>
    </row>
    <row r="64" spans="2:13">
      <c r="E64" s="118" t="s">
        <v>46</v>
      </c>
      <c r="F64" s="120">
        <f>SUM(F58:F63)</f>
        <v>2096965.38</v>
      </c>
      <c r="G64" s="61"/>
      <c r="L64" s="61"/>
      <c r="M64" s="61"/>
    </row>
    <row r="65" spans="1:13">
      <c r="E65" s="82"/>
      <c r="F65" s="80"/>
      <c r="G65" s="61"/>
      <c r="L65" s="61"/>
      <c r="M65" s="61"/>
    </row>
    <row r="66" spans="1:13">
      <c r="E66" s="118" t="s">
        <v>47</v>
      </c>
      <c r="F66" s="120">
        <f>F56-F64</f>
        <v>-3035449.6799999997</v>
      </c>
      <c r="G66" s="61"/>
    </row>
    <row r="67" spans="1:13">
      <c r="D67" s="247" t="s">
        <v>192</v>
      </c>
      <c r="E67" s="8"/>
      <c r="F67" s="220"/>
      <c r="G67" s="8"/>
    </row>
    <row r="68" spans="1:13">
      <c r="D68" s="247" t="s">
        <v>194</v>
      </c>
      <c r="E68" s="61"/>
      <c r="F68" s="219"/>
      <c r="G68" s="8"/>
    </row>
    <row r="69" spans="1:13">
      <c r="D69" s="8" t="s">
        <v>9</v>
      </c>
      <c r="E69" s="61"/>
      <c r="F69" s="219"/>
      <c r="G69" s="124">
        <f>SUM(E77:F77)</f>
        <v>0</v>
      </c>
    </row>
    <row r="70" spans="1:13">
      <c r="D70" s="8" t="s">
        <v>195</v>
      </c>
      <c r="E70" s="8"/>
      <c r="F70" s="220"/>
      <c r="G70" s="8"/>
    </row>
    <row r="71" spans="1:13">
      <c r="D71" s="8" t="s">
        <v>188</v>
      </c>
      <c r="E71" s="247"/>
      <c r="F71" s="247"/>
      <c r="G71" s="8"/>
    </row>
    <row r="72" spans="1:13">
      <c r="D72" s="8"/>
      <c r="E72" s="247"/>
      <c r="F72" s="248"/>
    </row>
    <row r="73" spans="1:13">
      <c r="E73" s="249"/>
      <c r="F73" s="246"/>
    </row>
    <row r="74" spans="1:13">
      <c r="E74" s="249"/>
      <c r="F74" s="287"/>
    </row>
    <row r="75" spans="1:13">
      <c r="E75" s="249"/>
      <c r="F75" s="287"/>
    </row>
    <row r="76" spans="1:13">
      <c r="E76" s="124"/>
      <c r="F76" s="287"/>
    </row>
    <row r="77" spans="1:13">
      <c r="E77" s="8"/>
    </row>
    <row r="78" spans="1:13">
      <c r="E78" s="8"/>
    </row>
    <row r="79" spans="1:13">
      <c r="A79" s="268"/>
      <c r="E79" s="8"/>
    </row>
    <row r="80" spans="1:13">
      <c r="E80" s="8"/>
    </row>
    <row r="81" spans="1:5">
      <c r="B81" s="235"/>
      <c r="E81" s="8"/>
    </row>
    <row r="82" spans="1:5">
      <c r="E82" s="8"/>
    </row>
    <row r="83" spans="1:5">
      <c r="E83" s="293"/>
    </row>
    <row r="84" spans="1:5">
      <c r="C84" s="155"/>
      <c r="E84" s="8"/>
    </row>
    <row r="85" spans="1:5">
      <c r="A85" s="269"/>
      <c r="E85" s="293"/>
    </row>
    <row r="86" spans="1:5">
      <c r="C86" s="155"/>
      <c r="E86" s="8"/>
    </row>
    <row r="87" spans="1:5">
      <c r="A87" s="269"/>
      <c r="E87" s="293"/>
    </row>
    <row r="88" spans="1:5">
      <c r="C88" s="155"/>
      <c r="E88" s="8"/>
    </row>
    <row r="89" spans="1:5">
      <c r="A89" s="269"/>
      <c r="E89" s="293"/>
    </row>
    <row r="90" spans="1:5">
      <c r="C90" s="155"/>
      <c r="E90" s="8"/>
    </row>
    <row r="91" spans="1:5">
      <c r="A91" s="269"/>
      <c r="E91" s="293"/>
    </row>
    <row r="92" spans="1:5">
      <c r="C92" s="155"/>
      <c r="E92" s="8"/>
    </row>
    <row r="93" spans="1:5">
      <c r="A93" s="269"/>
      <c r="E93" s="293"/>
    </row>
    <row r="94" spans="1:5">
      <c r="C94" s="155"/>
      <c r="E94" s="8"/>
    </row>
    <row r="95" spans="1:5">
      <c r="A95" s="269"/>
      <c r="E95" s="293"/>
    </row>
    <row r="96" spans="1:5">
      <c r="C96" s="155"/>
      <c r="E96" s="8"/>
    </row>
    <row r="97" spans="1:5">
      <c r="A97" s="269"/>
      <c r="E97" s="293"/>
    </row>
    <row r="98" spans="1:5">
      <c r="C98" s="155"/>
      <c r="E98" s="8"/>
    </row>
    <row r="99" spans="1:5">
      <c r="A99" s="269"/>
      <c r="E99" s="293"/>
    </row>
    <row r="100" spans="1:5">
      <c r="C100" s="155"/>
      <c r="E100" s="8"/>
    </row>
    <row r="101" spans="1:5">
      <c r="A101" s="269"/>
      <c r="E101" s="293"/>
    </row>
    <row r="102" spans="1:5">
      <c r="C102" s="155"/>
      <c r="E102" s="8"/>
    </row>
    <row r="103" spans="1:5">
      <c r="A103" s="269"/>
      <c r="E103" s="293"/>
    </row>
    <row r="104" spans="1:5">
      <c r="C104" s="155"/>
      <c r="E104" s="8"/>
    </row>
    <row r="105" spans="1:5">
      <c r="A105" s="269"/>
      <c r="E105" s="293"/>
    </row>
    <row r="106" spans="1:5">
      <c r="C106" s="155"/>
      <c r="E106" s="8"/>
    </row>
    <row r="107" spans="1:5">
      <c r="A107" s="269"/>
      <c r="E107" s="293"/>
    </row>
    <row r="108" spans="1:5">
      <c r="C108" s="155"/>
      <c r="E108" s="8"/>
    </row>
    <row r="109" spans="1:5">
      <c r="A109" s="269"/>
      <c r="E109" s="293"/>
    </row>
    <row r="110" spans="1:5">
      <c r="C110" s="155"/>
      <c r="E110" s="8"/>
    </row>
    <row r="111" spans="1:5">
      <c r="A111" s="269"/>
      <c r="E111" s="293"/>
    </row>
    <row r="112" spans="1:5">
      <c r="C112" s="155"/>
      <c r="E112" s="8"/>
    </row>
    <row r="113" spans="1:5">
      <c r="A113" s="269"/>
      <c r="E113" s="293"/>
    </row>
    <row r="114" spans="1:5">
      <c r="C114" s="155"/>
      <c r="E114" s="8"/>
    </row>
    <row r="115" spans="1:5">
      <c r="A115" s="269"/>
      <c r="E115" s="277"/>
    </row>
    <row r="116" spans="1:5">
      <c r="C116" s="155"/>
      <c r="E116" s="79"/>
    </row>
    <row r="117" spans="1:5">
      <c r="A117" s="269"/>
      <c r="E117" s="277"/>
    </row>
    <row r="118" spans="1:5">
      <c r="C118" s="155"/>
      <c r="E118" s="79"/>
    </row>
    <row r="119" spans="1:5">
      <c r="A119" s="269"/>
      <c r="E119" s="277"/>
    </row>
    <row r="120" spans="1:5">
      <c r="C120" s="155"/>
      <c r="E120" s="79"/>
    </row>
    <row r="121" spans="1:5">
      <c r="A121" s="269"/>
      <c r="E121" s="277"/>
    </row>
    <row r="122" spans="1:5">
      <c r="C122" s="155"/>
      <c r="E122" s="79"/>
    </row>
    <row r="123" spans="1:5">
      <c r="A123" s="269"/>
      <c r="E123" s="277"/>
    </row>
    <row r="124" spans="1:5">
      <c r="C124" s="155"/>
      <c r="E124" s="79"/>
    </row>
    <row r="125" spans="1:5">
      <c r="A125" s="269"/>
      <c r="E125" s="277"/>
    </row>
    <row r="126" spans="1:5">
      <c r="C126" s="155"/>
      <c r="E126" s="79"/>
    </row>
    <row r="127" spans="1:5">
      <c r="A127" s="269"/>
      <c r="E127" s="277"/>
    </row>
    <row r="128" spans="1:5">
      <c r="C128" s="155"/>
    </row>
    <row r="129" spans="1:5">
      <c r="A129" s="269"/>
      <c r="E129" s="155"/>
    </row>
    <row r="130" spans="1:5">
      <c r="C130" s="155"/>
    </row>
    <row r="131" spans="1:5">
      <c r="A131" s="269"/>
      <c r="E131" s="155"/>
    </row>
    <row r="132" spans="1:5">
      <c r="C132" s="155"/>
    </row>
    <row r="133" spans="1:5">
      <c r="A133" s="269"/>
      <c r="E133" s="155"/>
    </row>
    <row r="134" spans="1:5">
      <c r="C134" s="155"/>
    </row>
    <row r="135" spans="1:5">
      <c r="A135" s="269"/>
      <c r="E135" s="155"/>
    </row>
    <row r="136" spans="1:5">
      <c r="C136" s="155"/>
    </row>
    <row r="137" spans="1:5">
      <c r="A137" s="269"/>
      <c r="E137" s="155"/>
    </row>
    <row r="138" spans="1:5">
      <c r="C138" s="155"/>
    </row>
    <row r="139" spans="1:5">
      <c r="A139" s="269"/>
      <c r="E139" s="155"/>
    </row>
    <row r="140" spans="1:5">
      <c r="C140" s="155"/>
    </row>
    <row r="141" spans="1:5">
      <c r="A141" s="269"/>
      <c r="E141" s="155"/>
    </row>
    <row r="142" spans="1:5">
      <c r="C142" s="155"/>
    </row>
    <row r="143" spans="1:5">
      <c r="A143" s="269"/>
      <c r="E143" s="155"/>
    </row>
    <row r="144" spans="1:5">
      <c r="C144" s="155"/>
    </row>
    <row r="145" spans="1:5">
      <c r="A145" s="269"/>
      <c r="E145" s="155"/>
    </row>
    <row r="146" spans="1:5">
      <c r="C146" s="155"/>
    </row>
    <row r="147" spans="1:5">
      <c r="A147" s="269"/>
      <c r="E147" s="155"/>
    </row>
    <row r="148" spans="1:5">
      <c r="C148" s="155"/>
    </row>
    <row r="149" spans="1:5">
      <c r="A149" s="269"/>
      <c r="E149" s="155"/>
    </row>
    <row r="150" spans="1:5">
      <c r="C150" s="155"/>
    </row>
    <row r="151" spans="1:5">
      <c r="A151" s="269"/>
      <c r="E151" s="155"/>
    </row>
    <row r="152" spans="1:5">
      <c r="C152" s="155"/>
    </row>
    <row r="153" spans="1:5">
      <c r="A153" s="269"/>
      <c r="E153" s="155"/>
    </row>
    <row r="154" spans="1:5">
      <c r="C154" s="155"/>
    </row>
    <row r="155" spans="1:5">
      <c r="A155" s="269"/>
      <c r="E155" s="155"/>
    </row>
    <row r="156" spans="1:5">
      <c r="C156" s="155"/>
    </row>
    <row r="157" spans="1:5">
      <c r="A157" s="269"/>
      <c r="E157" s="155"/>
    </row>
    <row r="158" spans="1:5">
      <c r="C158" s="155"/>
    </row>
    <row r="159" spans="1:5">
      <c r="A159" s="269"/>
      <c r="E159" s="155"/>
    </row>
    <row r="160" spans="1:5">
      <c r="C160" s="155"/>
    </row>
    <row r="161" spans="1:5">
      <c r="A161" s="269"/>
      <c r="E161" s="155"/>
    </row>
    <row r="162" spans="1:5">
      <c r="C162" s="155"/>
    </row>
    <row r="163" spans="1:5">
      <c r="A163" s="269"/>
      <c r="E163" s="155"/>
    </row>
    <row r="164" spans="1:5">
      <c r="C164" s="155"/>
    </row>
    <row r="165" spans="1:5">
      <c r="A165" s="269"/>
      <c r="E165" s="155"/>
    </row>
    <row r="166" spans="1:5">
      <c r="C166" s="155"/>
    </row>
    <row r="167" spans="1:5">
      <c r="A167" s="269"/>
      <c r="E167" s="155"/>
    </row>
    <row r="168" spans="1:5">
      <c r="C168" s="155"/>
    </row>
    <row r="169" spans="1:5">
      <c r="A169" s="269"/>
      <c r="E169" s="155"/>
    </row>
    <row r="170" spans="1:5">
      <c r="C170" s="155"/>
    </row>
    <row r="171" spans="1:5">
      <c r="A171" s="269"/>
      <c r="E171" s="155"/>
    </row>
    <row r="172" spans="1:5">
      <c r="C172" s="155"/>
    </row>
    <row r="173" spans="1:5">
      <c r="A173" s="269"/>
      <c r="E173" s="155"/>
    </row>
    <row r="174" spans="1:5">
      <c r="C174" s="155"/>
    </row>
    <row r="175" spans="1:5">
      <c r="A175" s="269"/>
      <c r="E175" s="155"/>
    </row>
    <row r="176" spans="1:5">
      <c r="C176" s="155"/>
    </row>
    <row r="177" spans="1:5">
      <c r="A177" s="269"/>
      <c r="E177" s="155"/>
    </row>
    <row r="178" spans="1:5">
      <c r="C178" s="155"/>
    </row>
    <row r="179" spans="1:5">
      <c r="A179" s="269"/>
      <c r="E179" s="155"/>
    </row>
    <row r="180" spans="1:5">
      <c r="C180" s="155"/>
    </row>
    <row r="181" spans="1:5">
      <c r="A181" s="269"/>
      <c r="E181" s="155"/>
    </row>
    <row r="182" spans="1:5">
      <c r="C182" s="155"/>
    </row>
    <row r="183" spans="1:5">
      <c r="A183" s="269"/>
      <c r="E183" s="155"/>
    </row>
    <row r="184" spans="1:5">
      <c r="C184" s="155"/>
    </row>
    <row r="185" spans="1:5">
      <c r="A185" s="269"/>
      <c r="E185" s="155"/>
    </row>
    <row r="186" spans="1:5">
      <c r="C186" s="155"/>
    </row>
    <row r="187" spans="1:5">
      <c r="A187" s="269"/>
      <c r="E187" s="155"/>
    </row>
    <row r="188" spans="1:5">
      <c r="C188" s="155"/>
    </row>
    <row r="189" spans="1:5">
      <c r="A189" s="269"/>
      <c r="E189" s="155"/>
    </row>
    <row r="190" spans="1:5">
      <c r="C190" s="155"/>
    </row>
    <row r="191" spans="1:5">
      <c r="A191" s="269"/>
      <c r="E191" s="155"/>
    </row>
    <row r="192" spans="1:5">
      <c r="C192" s="155"/>
    </row>
    <row r="193" spans="1:5">
      <c r="A193" s="269"/>
      <c r="E193" s="155"/>
    </row>
    <row r="194" spans="1:5">
      <c r="C194" s="155"/>
    </row>
    <row r="195" spans="1:5">
      <c r="A195" s="269"/>
      <c r="E195" s="155"/>
    </row>
    <row r="196" spans="1:5">
      <c r="C196" s="155"/>
    </row>
    <row r="197" spans="1:5">
      <c r="A197" s="269"/>
      <c r="E197" s="155"/>
    </row>
    <row r="198" spans="1:5">
      <c r="C198" s="155"/>
    </row>
    <row r="199" spans="1:5">
      <c r="A199" s="269"/>
      <c r="E199" s="155"/>
    </row>
    <row r="200" spans="1:5">
      <c r="C200" s="155"/>
    </row>
    <row r="201" spans="1:5">
      <c r="A201" s="269"/>
      <c r="E201" s="155"/>
    </row>
    <row r="202" spans="1:5">
      <c r="C202" s="155"/>
    </row>
    <row r="203" spans="1:5">
      <c r="A203" s="269"/>
      <c r="E203" s="155"/>
    </row>
    <row r="204" spans="1:5">
      <c r="D204" s="155"/>
    </row>
    <row r="205" spans="1:5">
      <c r="A205" s="269"/>
      <c r="E205" s="155"/>
    </row>
    <row r="206" spans="1:5">
      <c r="C206" s="155"/>
    </row>
    <row r="207" spans="1:5">
      <c r="A207" s="269"/>
      <c r="E207" s="155"/>
    </row>
    <row r="208" spans="1:5">
      <c r="C208" s="155"/>
    </row>
    <row r="209" spans="1:5">
      <c r="A209" s="269"/>
      <c r="E209" s="155"/>
    </row>
    <row r="210" spans="1:5">
      <c r="C210" s="155"/>
    </row>
    <row r="211" spans="1:5">
      <c r="A211" s="269"/>
      <c r="E211" s="155"/>
    </row>
    <row r="212" spans="1:5">
      <c r="C212" s="155"/>
    </row>
    <row r="213" spans="1:5">
      <c r="A213" s="269"/>
      <c r="E213" s="155"/>
    </row>
    <row r="214" spans="1:5">
      <c r="C214" s="155"/>
    </row>
    <row r="215" spans="1:5">
      <c r="A215" s="269"/>
    </row>
  </sheetData>
  <mergeCells count="16"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37F0C-F154-4C24-B294-E2A333EB1EA7}">
  <dimension ref="A6:R215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</row>
    <row r="12" spans="1:12" ht="19" thickBot="1">
      <c r="A12" s="1"/>
      <c r="B12" s="331" t="s">
        <v>2</v>
      </c>
      <c r="C12" s="332"/>
      <c r="D12" s="332"/>
      <c r="E12" s="333"/>
      <c r="F12" s="295"/>
      <c r="G12" s="296"/>
      <c r="H12" s="1"/>
      <c r="I12" s="1"/>
      <c r="J12" s="76"/>
      <c r="K12" s="1"/>
    </row>
    <row r="13" spans="1:12" ht="18" thickBot="1">
      <c r="A13" s="1"/>
      <c r="B13" s="1"/>
      <c r="C13" s="1"/>
      <c r="D13" s="1"/>
      <c r="E13" s="1"/>
      <c r="F13" s="215"/>
      <c r="G13" s="11"/>
      <c r="H13" s="11"/>
      <c r="I13" s="11"/>
      <c r="J13" s="15"/>
      <c r="K13" s="16"/>
    </row>
    <row r="14" spans="1:12" ht="18" thickBot="1">
      <c r="A14" s="11"/>
      <c r="B14" s="334" t="s">
        <v>3</v>
      </c>
      <c r="C14" s="335"/>
      <c r="D14" s="336"/>
      <c r="E14" s="17">
        <f>SUM(E15:E17)</f>
        <v>580212.66</v>
      </c>
      <c r="F14" s="264"/>
      <c r="G14" s="331" t="s">
        <v>4</v>
      </c>
      <c r="H14" s="332"/>
      <c r="I14" s="332"/>
      <c r="J14" s="332"/>
      <c r="K14" s="333"/>
      <c r="L14" s="13"/>
    </row>
    <row r="15" spans="1:12">
      <c r="A15" s="1"/>
      <c r="B15" s="337" t="s">
        <v>5</v>
      </c>
      <c r="C15" s="338"/>
      <c r="D15" s="339"/>
      <c r="E15" s="20">
        <f>J16+J17+J18+J19</f>
        <v>450676.46</v>
      </c>
      <c r="F15" s="153"/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45138.2</v>
      </c>
      <c r="F16" s="153"/>
      <c r="G16" s="22">
        <v>33128.54</v>
      </c>
      <c r="H16" s="23" t="s">
        <v>8</v>
      </c>
      <c r="I16" s="24"/>
      <c r="J16" s="25">
        <v>35081.26</v>
      </c>
      <c r="K16" s="26" t="s">
        <v>9</v>
      </c>
      <c r="L16" s="19"/>
    </row>
    <row r="17" spans="1:18">
      <c r="A17" s="1"/>
      <c r="B17" s="352" t="s">
        <v>6</v>
      </c>
      <c r="C17" s="353"/>
      <c r="D17" s="354"/>
      <c r="E17" s="28">
        <f>G16+G17+G18</f>
        <v>84398</v>
      </c>
      <c r="F17" s="153">
        <f>E15+E16+E17</f>
        <v>580212.66</v>
      </c>
      <c r="G17" s="22">
        <v>21108.79</v>
      </c>
      <c r="H17" s="29" t="s">
        <v>10</v>
      </c>
      <c r="I17" s="30"/>
      <c r="J17" s="25">
        <v>258999.25</v>
      </c>
      <c r="K17" s="31" t="s">
        <v>10</v>
      </c>
      <c r="L17" s="13"/>
    </row>
    <row r="18" spans="1:18">
      <c r="A18" s="1"/>
      <c r="B18" s="236" t="s">
        <v>187</v>
      </c>
      <c r="C18" s="237"/>
      <c r="D18" s="238"/>
      <c r="E18" s="28">
        <f>+J22</f>
        <v>23147.18</v>
      </c>
      <c r="F18" s="153">
        <v>90000</v>
      </c>
      <c r="G18" s="22">
        <v>30160.67</v>
      </c>
      <c r="H18" s="29" t="s">
        <v>12</v>
      </c>
      <c r="I18" s="30"/>
      <c r="J18" s="25">
        <v>94705.49</v>
      </c>
      <c r="K18" s="31" t="s">
        <v>12</v>
      </c>
      <c r="L18" s="13"/>
      <c r="N18" s="3"/>
    </row>
    <row r="19" spans="1:18">
      <c r="B19" s="379" t="s">
        <v>11</v>
      </c>
      <c r="C19" s="380"/>
      <c r="D19" s="381"/>
      <c r="E19" s="20">
        <f>G29+G31+G30+G28</f>
        <v>465050.30000000005</v>
      </c>
      <c r="F19" s="153">
        <f>+F17-F18</f>
        <v>490212.66000000003</v>
      </c>
      <c r="G19" s="33"/>
      <c r="H19" s="34"/>
      <c r="I19" s="30"/>
      <c r="J19" s="25">
        <v>61890.46</v>
      </c>
      <c r="K19" s="31" t="s">
        <v>14</v>
      </c>
      <c r="N19" s="3"/>
    </row>
    <row r="20" spans="1:18">
      <c r="B20" s="344" t="s">
        <v>13</v>
      </c>
      <c r="C20" s="345"/>
      <c r="D20" s="346"/>
      <c r="E20" s="20">
        <v>19273588.129999999</v>
      </c>
      <c r="F20" s="153"/>
      <c r="G20" s="239"/>
      <c r="H20" s="240"/>
      <c r="I20" s="30"/>
      <c r="J20" s="25"/>
      <c r="K20" s="31"/>
      <c r="L20" s="152"/>
      <c r="N20" s="3"/>
    </row>
    <row r="21" spans="1:18">
      <c r="B21" s="187" t="s">
        <v>15</v>
      </c>
      <c r="C21" s="188"/>
      <c r="D21" s="189"/>
      <c r="E21" s="190">
        <f>SUM(E22:E25)</f>
        <v>351826.52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  <c r="N21" s="268"/>
    </row>
    <row r="22" spans="1:18">
      <c r="B22" s="187"/>
      <c r="C22" s="188"/>
      <c r="D22" s="300" t="s">
        <v>387</v>
      </c>
      <c r="E22" s="190">
        <v>26100</v>
      </c>
      <c r="F22" s="153"/>
      <c r="G22" s="44">
        <v>20030.240000000002</v>
      </c>
      <c r="H22" s="29" t="s">
        <v>10</v>
      </c>
      <c r="I22" s="30"/>
      <c r="J22" s="25">
        <v>23147.18</v>
      </c>
      <c r="K22" s="31" t="s">
        <v>188</v>
      </c>
      <c r="L22" s="294"/>
      <c r="M22" s="294"/>
    </row>
    <row r="23" spans="1:18">
      <c r="B23" s="187"/>
      <c r="C23" s="188"/>
      <c r="D23" s="198" t="s">
        <v>382</v>
      </c>
      <c r="E23" s="190">
        <v>48897.31</v>
      </c>
      <c r="F23" s="153"/>
      <c r="G23" s="44">
        <v>25107.96</v>
      </c>
      <c r="H23" s="29" t="s">
        <v>18</v>
      </c>
      <c r="I23" s="30"/>
      <c r="J23" s="25"/>
      <c r="K23" s="31"/>
      <c r="L23" s="294"/>
      <c r="M23" s="294"/>
    </row>
    <row r="24" spans="1:18" ht="15" thickBot="1">
      <c r="B24" s="187"/>
      <c r="C24" s="188"/>
      <c r="D24" s="198" t="s">
        <v>382</v>
      </c>
      <c r="E24" s="190">
        <v>238480.72</v>
      </c>
      <c r="F24" s="153"/>
      <c r="G24" s="51"/>
      <c r="H24" s="34"/>
      <c r="I24" s="30"/>
      <c r="J24" s="210"/>
      <c r="K24" s="53"/>
      <c r="L24" s="294"/>
      <c r="M24" s="294"/>
      <c r="O24" s="235"/>
    </row>
    <row r="25" spans="1:18" ht="15" thickBot="1">
      <c r="B25" s="187"/>
      <c r="C25" s="188"/>
      <c r="D25" s="198" t="s">
        <v>382</v>
      </c>
      <c r="E25" s="190">
        <v>38348.49</v>
      </c>
      <c r="F25" s="153"/>
      <c r="G25" s="331" t="s">
        <v>21</v>
      </c>
      <c r="H25" s="332"/>
      <c r="I25" s="332"/>
      <c r="J25" s="332"/>
      <c r="K25" s="333"/>
    </row>
    <row r="26" spans="1:18">
      <c r="B26" s="202" t="s">
        <v>17</v>
      </c>
      <c r="C26" s="203"/>
      <c r="D26" s="204"/>
      <c r="E26" s="234">
        <v>0</v>
      </c>
      <c r="F26" s="220"/>
      <c r="G26" s="54"/>
      <c r="H26" s="55"/>
      <c r="I26" s="56"/>
      <c r="J26" s="211"/>
      <c r="K26" s="58"/>
      <c r="N26" s="290"/>
    </row>
    <row r="27" spans="1:18">
      <c r="B27" s="202" t="s">
        <v>163</v>
      </c>
      <c r="C27" s="203"/>
      <c r="D27" s="204"/>
      <c r="E27" s="234">
        <f>1250000+110000</f>
        <v>1360000</v>
      </c>
      <c r="F27" s="153">
        <f>+F19-E26</f>
        <v>490212.66000000003</v>
      </c>
      <c r="G27" s="377" t="s">
        <v>5</v>
      </c>
      <c r="H27" s="378"/>
      <c r="I27" s="59"/>
      <c r="J27" s="60"/>
      <c r="K27" s="45"/>
      <c r="N27" s="290"/>
      <c r="Q27" s="155"/>
      <c r="R27" s="155"/>
    </row>
    <row r="28" spans="1:18">
      <c r="B28" s="199" t="s">
        <v>22</v>
      </c>
      <c r="C28" s="200"/>
      <c r="D28" s="201"/>
      <c r="E28" s="234">
        <v>0</v>
      </c>
      <c r="F28" s="288">
        <f>SUM(E26:E32)</f>
        <v>1360000</v>
      </c>
      <c r="G28" s="22">
        <v>4175.46</v>
      </c>
      <c r="H28" s="62" t="s">
        <v>9</v>
      </c>
      <c r="I28" s="59"/>
      <c r="J28" s="60"/>
      <c r="K28" s="45"/>
      <c r="N28" s="290"/>
      <c r="P28" s="155"/>
      <c r="R28" s="155"/>
    </row>
    <row r="29" spans="1:18">
      <c r="B29" s="199" t="s">
        <v>50</v>
      </c>
      <c r="C29" s="200"/>
      <c r="D29" s="201"/>
      <c r="E29" s="234">
        <v>0</v>
      </c>
      <c r="F29" s="153">
        <f>+F27-F28</f>
        <v>-869787.34</v>
      </c>
      <c r="G29" s="22">
        <v>351707.77</v>
      </c>
      <c r="H29" s="62" t="s">
        <v>26</v>
      </c>
      <c r="I29" s="63"/>
      <c r="J29" s="64" t="s">
        <v>27</v>
      </c>
      <c r="K29" s="65" t="s">
        <v>28</v>
      </c>
      <c r="M29" s="291"/>
      <c r="N29" s="292"/>
    </row>
    <row r="30" spans="1:18">
      <c r="B30" s="199" t="s">
        <v>24</v>
      </c>
      <c r="C30" s="200"/>
      <c r="D30" s="201"/>
      <c r="E30" s="49">
        <v>0</v>
      </c>
      <c r="F30" s="221"/>
      <c r="G30" s="67">
        <v>101908.27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1:18" ht="15" thickBot="1">
      <c r="B31" s="344" t="s">
        <v>69</v>
      </c>
      <c r="C31" s="345"/>
      <c r="D31" s="346"/>
      <c r="E31" s="234">
        <v>0</v>
      </c>
      <c r="F31" s="220"/>
      <c r="G31" s="71">
        <v>7258.8</v>
      </c>
      <c r="H31" s="72" t="s">
        <v>12</v>
      </c>
      <c r="I31" s="73"/>
      <c r="J31" s="74" t="s">
        <v>32</v>
      </c>
      <c r="K31" s="75" t="s">
        <v>33</v>
      </c>
    </row>
    <row r="32" spans="1:18" ht="15" thickBot="1">
      <c r="B32" s="363" t="s">
        <v>29</v>
      </c>
      <c r="C32" s="364"/>
      <c r="D32" s="365"/>
      <c r="E32" s="66">
        <v>0</v>
      </c>
      <c r="F32" s="220"/>
      <c r="N32" s="269"/>
      <c r="P32" s="155"/>
      <c r="R32" s="155"/>
    </row>
    <row r="33" spans="2:18">
      <c r="E33" s="61"/>
      <c r="F33" s="219"/>
    </row>
    <row r="34" spans="2:18">
      <c r="E34" s="61"/>
      <c r="F34" s="219"/>
      <c r="H34" s="61"/>
      <c r="I34" s="61"/>
      <c r="J34" s="39"/>
      <c r="K34" s="61"/>
      <c r="N34" s="269"/>
      <c r="P34" s="155"/>
      <c r="R34" s="155"/>
    </row>
    <row r="35" spans="2:18">
      <c r="E35" s="61"/>
      <c r="F35" s="219"/>
      <c r="G35" s="8"/>
      <c r="H35" s="61"/>
      <c r="I35" s="61"/>
      <c r="J35" s="39"/>
      <c r="K35" s="61"/>
    </row>
    <row r="36" spans="2:18">
      <c r="E36" s="61"/>
      <c r="F36" s="219"/>
      <c r="G36" s="8"/>
      <c r="H36" s="13"/>
      <c r="I36" s="61"/>
      <c r="J36" s="13"/>
      <c r="K36" s="83"/>
      <c r="L36" s="61"/>
      <c r="M36" s="61"/>
      <c r="N36" s="269"/>
      <c r="P36" s="155"/>
      <c r="R36" s="155"/>
    </row>
    <row r="37" spans="2:18">
      <c r="B37" s="61"/>
      <c r="C37" s="61"/>
      <c r="D37" s="61"/>
      <c r="E37" s="78" t="s">
        <v>384</v>
      </c>
      <c r="F37" s="297"/>
      <c r="G37" s="181"/>
      <c r="H37" s="161"/>
      <c r="I37" s="197"/>
      <c r="J37" s="13"/>
      <c r="K37" s="83"/>
      <c r="L37" s="61"/>
      <c r="M37" s="61"/>
    </row>
    <row r="38" spans="2:18" s="61" customFormat="1" ht="15" customHeight="1">
      <c r="E38" s="78"/>
      <c r="F38" s="297"/>
      <c r="G38" s="86"/>
      <c r="H38" s="161"/>
      <c r="I38" s="197"/>
      <c r="J38" s="13"/>
      <c r="K38" s="83"/>
      <c r="L38" s="88"/>
      <c r="N38" s="272"/>
      <c r="P38" s="273"/>
      <c r="R38" s="273"/>
    </row>
    <row r="39" spans="2:18" s="61" customFormat="1" ht="15" customHeight="1">
      <c r="E39" s="83" t="s">
        <v>34</v>
      </c>
      <c r="F39" s="297">
        <f>F19</f>
        <v>490212.66000000003</v>
      </c>
      <c r="G39" s="88"/>
      <c r="I39" s="197"/>
      <c r="J39" s="13"/>
      <c r="K39" s="85"/>
      <c r="L39" s="161"/>
      <c r="M39" s="197"/>
    </row>
    <row r="40" spans="2:18" s="61" customFormat="1" ht="15" customHeight="1">
      <c r="E40" s="83" t="s">
        <v>35</v>
      </c>
      <c r="F40" s="297">
        <f>+E19</f>
        <v>465050.30000000005</v>
      </c>
      <c r="G40" s="88"/>
      <c r="I40" s="214"/>
      <c r="J40" s="13"/>
      <c r="K40" s="87"/>
      <c r="L40" s="161"/>
      <c r="M40" s="197"/>
      <c r="N40" s="272"/>
      <c r="P40" s="273"/>
      <c r="R40" s="273"/>
    </row>
    <row r="41" spans="2:18" s="61" customFormat="1" ht="15" customHeight="1">
      <c r="E41" s="83" t="s">
        <v>36</v>
      </c>
      <c r="F41" s="297">
        <v>0</v>
      </c>
      <c r="G41" s="13"/>
      <c r="I41" s="197"/>
      <c r="J41" s="13"/>
      <c r="M41" s="197"/>
    </row>
    <row r="42" spans="2:18" s="61" customFormat="1" ht="15" customHeight="1">
      <c r="E42" s="83" t="s">
        <v>37</v>
      </c>
      <c r="F42" s="297">
        <v>0</v>
      </c>
      <c r="G42" s="13"/>
      <c r="I42" s="197"/>
      <c r="J42" s="13"/>
      <c r="M42" s="197"/>
      <c r="N42" s="272"/>
      <c r="P42" s="273"/>
      <c r="R42" s="273"/>
    </row>
    <row r="43" spans="2:18" s="61" customFormat="1" ht="15" customHeight="1">
      <c r="E43" s="85" t="s">
        <v>38</v>
      </c>
      <c r="F43" s="231">
        <f>SUM(F39:F42)</f>
        <v>955262.96000000008</v>
      </c>
      <c r="G43" s="13"/>
      <c r="H43" s="163"/>
      <c r="I43" s="229"/>
      <c r="J43" s="13"/>
      <c r="M43" s="197"/>
    </row>
    <row r="44" spans="2:18" s="61" customFormat="1" ht="15" customHeight="1">
      <c r="E44" s="87"/>
      <c r="F44" s="232"/>
      <c r="G44" s="13"/>
      <c r="H44" s="165"/>
      <c r="I44" s="230"/>
      <c r="J44" s="13"/>
      <c r="M44" s="197"/>
      <c r="N44" s="272"/>
      <c r="P44" s="273"/>
      <c r="R44" s="273"/>
    </row>
    <row r="45" spans="2:18" s="61" customFormat="1" ht="15" customHeight="1">
      <c r="E45" s="87" t="s">
        <v>152</v>
      </c>
      <c r="F45" s="232">
        <v>230000</v>
      </c>
      <c r="G45" s="13"/>
      <c r="H45" s="165"/>
      <c r="I45" s="230"/>
      <c r="J45" s="13"/>
      <c r="M45" s="197"/>
      <c r="N45" s="272"/>
      <c r="P45" s="273"/>
      <c r="R45" s="273"/>
    </row>
    <row r="46" spans="2:18" s="61" customFormat="1" ht="15" customHeight="1">
      <c r="E46" s="87" t="s">
        <v>180</v>
      </c>
      <c r="F46" s="232">
        <v>0</v>
      </c>
      <c r="G46" s="13"/>
      <c r="H46" s="165"/>
      <c r="I46" s="230"/>
      <c r="J46" s="13"/>
      <c r="M46" s="197"/>
      <c r="N46" s="272"/>
      <c r="P46" s="273"/>
      <c r="R46" s="273"/>
    </row>
    <row r="47" spans="2:18" s="61" customFormat="1" ht="15" customHeight="1">
      <c r="E47" s="87" t="s">
        <v>189</v>
      </c>
      <c r="F47" s="232">
        <v>0</v>
      </c>
      <c r="G47" s="13"/>
      <c r="H47" s="165"/>
      <c r="I47" s="230"/>
      <c r="J47" s="13"/>
      <c r="M47" s="197"/>
      <c r="N47" s="272"/>
      <c r="P47" s="273"/>
      <c r="R47" s="273"/>
    </row>
    <row r="48" spans="2:18" s="61" customFormat="1" ht="15" customHeight="1">
      <c r="E48" s="87" t="s">
        <v>78</v>
      </c>
      <c r="F48" s="232">
        <v>0</v>
      </c>
      <c r="G48" s="13"/>
      <c r="H48" s="165"/>
      <c r="I48" s="230"/>
      <c r="J48" s="13"/>
      <c r="L48" s="165"/>
      <c r="M48" s="230"/>
      <c r="N48" s="272"/>
      <c r="P48" s="273"/>
      <c r="R48" s="273"/>
    </row>
    <row r="49" spans="2:13" s="61" customFormat="1" ht="15" customHeight="1">
      <c r="E49" s="87" t="s">
        <v>64</v>
      </c>
      <c r="F49" s="232">
        <v>0</v>
      </c>
      <c r="G49" s="13"/>
      <c r="H49" s="165"/>
      <c r="I49" s="230"/>
      <c r="J49" s="13"/>
    </row>
    <row r="50" spans="2:13" s="61" customFormat="1" ht="15" customHeight="1">
      <c r="E50" s="91" t="s">
        <v>24</v>
      </c>
      <c r="F50" s="228">
        <v>0</v>
      </c>
      <c r="H50" s="91"/>
      <c r="I50" s="231"/>
      <c r="J50" s="13"/>
    </row>
    <row r="51" spans="2:13" s="61" customFormat="1" ht="15" customHeight="1">
      <c r="E51" s="91" t="s">
        <v>22</v>
      </c>
      <c r="F51" s="228">
        <v>50000</v>
      </c>
      <c r="H51" s="96"/>
      <c r="I51" s="231"/>
      <c r="J51" s="262"/>
    </row>
    <row r="52" spans="2:13" s="61" customFormat="1">
      <c r="E52" s="91" t="s">
        <v>40</v>
      </c>
      <c r="F52" s="232">
        <v>180000</v>
      </c>
      <c r="G52" s="83"/>
      <c r="H52" s="83"/>
      <c r="I52" s="228"/>
      <c r="J52" s="13"/>
    </row>
    <row r="53" spans="2:13" s="61" customFormat="1">
      <c r="E53" s="91" t="s">
        <v>385</v>
      </c>
      <c r="F53" s="232">
        <v>0</v>
      </c>
      <c r="G53" s="83"/>
      <c r="H53" s="83"/>
      <c r="I53" s="228"/>
      <c r="J53" s="13"/>
    </row>
    <row r="54" spans="2:13" s="61" customFormat="1">
      <c r="E54" s="91" t="s">
        <v>69</v>
      </c>
      <c r="F54" s="232">
        <v>60000</v>
      </c>
      <c r="G54" s="83"/>
      <c r="H54" s="83"/>
      <c r="I54" s="228"/>
      <c r="J54" s="13"/>
    </row>
    <row r="55" spans="2:13" s="61" customFormat="1">
      <c r="E55" s="96" t="s">
        <v>41</v>
      </c>
      <c r="F55" s="231">
        <f>SUM(F45:F54)</f>
        <v>520000</v>
      </c>
      <c r="G55" s="83"/>
      <c r="H55" s="83"/>
      <c r="I55" s="233"/>
      <c r="J55" s="13"/>
    </row>
    <row r="56" spans="2:13" s="61" customFormat="1">
      <c r="E56" s="96" t="s">
        <v>42</v>
      </c>
      <c r="F56" s="231">
        <f>F43-F55</f>
        <v>435262.96000000008</v>
      </c>
      <c r="G56" s="83"/>
      <c r="H56" s="83"/>
      <c r="I56" s="233"/>
      <c r="J56" s="13"/>
    </row>
    <row r="57" spans="2:13" s="61" customFormat="1">
      <c r="E57" s="83"/>
      <c r="F57" s="151"/>
      <c r="G57" s="83"/>
      <c r="H57" s="83"/>
      <c r="I57" s="233"/>
      <c r="J57" s="13"/>
      <c r="L57" s="91"/>
      <c r="M57" s="232"/>
    </row>
    <row r="58" spans="2:13" s="61" customFormat="1">
      <c r="E58" s="83" t="s">
        <v>43</v>
      </c>
      <c r="F58" s="151">
        <v>0</v>
      </c>
      <c r="G58" s="83"/>
      <c r="H58" s="96"/>
      <c r="I58" s="228"/>
      <c r="J58" s="13"/>
      <c r="L58" s="91"/>
      <c r="M58" s="232"/>
    </row>
    <row r="59" spans="2:13" s="61" customFormat="1">
      <c r="E59" s="83" t="s">
        <v>44</v>
      </c>
      <c r="F59" s="151">
        <v>0</v>
      </c>
      <c r="G59" s="83"/>
      <c r="H59" s="96"/>
      <c r="I59" s="228"/>
      <c r="J59" s="13"/>
      <c r="L59" s="91"/>
      <c r="M59" s="232"/>
    </row>
    <row r="60" spans="2:13" s="61" customFormat="1">
      <c r="E60" s="83" t="s">
        <v>386</v>
      </c>
      <c r="F60" s="151">
        <v>3866.8</v>
      </c>
      <c r="G60" s="83"/>
      <c r="H60" s="83"/>
      <c r="I60" s="233"/>
      <c r="J60" s="13"/>
      <c r="L60" s="96"/>
      <c r="M60" s="231"/>
    </row>
    <row r="61" spans="2:13" s="61" customFormat="1">
      <c r="E61" s="83" t="s">
        <v>45</v>
      </c>
      <c r="F61" s="95">
        <v>993098.58</v>
      </c>
      <c r="H61" s="96"/>
      <c r="I61" s="219"/>
      <c r="J61" s="13"/>
      <c r="L61" s="96"/>
      <c r="M61" s="233"/>
    </row>
    <row r="62" spans="2:13" s="61" customFormat="1">
      <c r="E62" s="83" t="s">
        <v>205</v>
      </c>
      <c r="F62" s="95">
        <v>0</v>
      </c>
      <c r="J62" s="13"/>
    </row>
    <row r="63" spans="2:13" s="61" customFormat="1">
      <c r="B63"/>
      <c r="C63"/>
      <c r="D63"/>
      <c r="E63" s="83" t="s">
        <v>206</v>
      </c>
      <c r="F63" s="95">
        <v>1100000</v>
      </c>
      <c r="J63" s="13"/>
      <c r="L63" s="83"/>
      <c r="M63" s="228"/>
    </row>
    <row r="64" spans="2:13">
      <c r="E64" s="96" t="s">
        <v>46</v>
      </c>
      <c r="F64" s="99">
        <f>SUM(F58:F63)</f>
        <v>2096965.38</v>
      </c>
      <c r="G64" s="61"/>
      <c r="L64" s="61"/>
      <c r="M64" s="61"/>
    </row>
    <row r="65" spans="1:13">
      <c r="E65" s="83"/>
      <c r="F65" s="151"/>
      <c r="G65" s="61"/>
      <c r="L65" s="61"/>
      <c r="M65" s="61"/>
    </row>
    <row r="66" spans="1:13">
      <c r="E66" s="96" t="s">
        <v>47</v>
      </c>
      <c r="F66" s="99">
        <f>F56-F64</f>
        <v>-1661702.42</v>
      </c>
      <c r="G66" s="61"/>
    </row>
    <row r="67" spans="1:13">
      <c r="D67" s="247" t="s">
        <v>192</v>
      </c>
      <c r="E67" s="61"/>
      <c r="F67" s="219"/>
      <c r="G67" s="8"/>
    </row>
    <row r="68" spans="1:13">
      <c r="D68" s="247" t="s">
        <v>194</v>
      </c>
      <c r="E68" s="61"/>
      <c r="F68" s="219"/>
      <c r="G68" s="8"/>
    </row>
    <row r="69" spans="1:13">
      <c r="D69" s="8" t="s">
        <v>9</v>
      </c>
      <c r="E69" s="61"/>
      <c r="F69" s="219"/>
      <c r="G69" s="124">
        <f>SUM(E77:F77)</f>
        <v>0</v>
      </c>
    </row>
    <row r="70" spans="1:13">
      <c r="D70" s="8" t="s">
        <v>195</v>
      </c>
      <c r="E70" s="8"/>
      <c r="F70" s="220"/>
      <c r="G70" s="8"/>
    </row>
    <row r="71" spans="1:13">
      <c r="D71" s="8" t="s">
        <v>188</v>
      </c>
      <c r="E71" s="247"/>
      <c r="F71" s="247"/>
      <c r="G71" s="8"/>
    </row>
    <row r="72" spans="1:13">
      <c r="D72" s="8"/>
      <c r="E72" s="247"/>
      <c r="F72" s="248"/>
    </row>
    <row r="73" spans="1:13">
      <c r="E73" s="249"/>
      <c r="F73" s="246"/>
    </row>
    <row r="74" spans="1:13">
      <c r="E74" s="249"/>
      <c r="F74" s="287"/>
    </row>
    <row r="75" spans="1:13">
      <c r="E75" s="249"/>
      <c r="F75" s="287"/>
    </row>
    <row r="76" spans="1:13">
      <c r="E76" s="124"/>
      <c r="F76" s="287"/>
    </row>
    <row r="77" spans="1:13">
      <c r="E77" s="8"/>
    </row>
    <row r="78" spans="1:13">
      <c r="E78" s="8"/>
    </row>
    <row r="79" spans="1:13">
      <c r="A79" s="268"/>
      <c r="E79" s="8"/>
    </row>
    <row r="80" spans="1:13">
      <c r="E80" s="8"/>
    </row>
    <row r="81" spans="1:5">
      <c r="B81" s="235"/>
      <c r="E81" s="8"/>
    </row>
    <row r="82" spans="1:5">
      <c r="E82" s="8"/>
    </row>
    <row r="83" spans="1:5">
      <c r="E83" s="293"/>
    </row>
    <row r="84" spans="1:5">
      <c r="C84" s="155"/>
      <c r="E84" s="8"/>
    </row>
    <row r="85" spans="1:5">
      <c r="A85" s="269"/>
      <c r="E85" s="293"/>
    </row>
    <row r="86" spans="1:5">
      <c r="C86" s="155"/>
      <c r="E86" s="8"/>
    </row>
    <row r="87" spans="1:5">
      <c r="A87" s="269"/>
      <c r="E87" s="293"/>
    </row>
    <row r="88" spans="1:5">
      <c r="C88" s="155"/>
      <c r="E88" s="8"/>
    </row>
    <row r="89" spans="1:5">
      <c r="A89" s="269"/>
      <c r="E89" s="293"/>
    </row>
    <row r="90" spans="1:5">
      <c r="C90" s="155"/>
      <c r="E90" s="8"/>
    </row>
    <row r="91" spans="1:5">
      <c r="A91" s="269"/>
      <c r="E91" s="293"/>
    </row>
    <row r="92" spans="1:5">
      <c r="C92" s="155"/>
      <c r="E92" s="8"/>
    </row>
    <row r="93" spans="1:5">
      <c r="A93" s="269"/>
      <c r="E93" s="293"/>
    </row>
    <row r="94" spans="1:5">
      <c r="C94" s="155"/>
      <c r="E94" s="8"/>
    </row>
    <row r="95" spans="1:5">
      <c r="A95" s="269"/>
      <c r="E95" s="293"/>
    </row>
    <row r="96" spans="1:5">
      <c r="C96" s="155"/>
      <c r="E96" s="8"/>
    </row>
    <row r="97" spans="1:5">
      <c r="A97" s="269"/>
      <c r="E97" s="293"/>
    </row>
    <row r="98" spans="1:5">
      <c r="C98" s="155"/>
      <c r="E98" s="8"/>
    </row>
    <row r="99" spans="1:5">
      <c r="A99" s="269"/>
      <c r="E99" s="293"/>
    </row>
    <row r="100" spans="1:5">
      <c r="C100" s="155"/>
      <c r="E100" s="8"/>
    </row>
    <row r="101" spans="1:5">
      <c r="A101" s="269"/>
      <c r="E101" s="293"/>
    </row>
    <row r="102" spans="1:5">
      <c r="C102" s="155"/>
      <c r="E102" s="8"/>
    </row>
    <row r="103" spans="1:5">
      <c r="A103" s="269"/>
      <c r="E103" s="293"/>
    </row>
    <row r="104" spans="1:5">
      <c r="C104" s="155"/>
      <c r="E104" s="8"/>
    </row>
    <row r="105" spans="1:5">
      <c r="A105" s="269"/>
      <c r="E105" s="293"/>
    </row>
    <row r="106" spans="1:5">
      <c r="C106" s="155"/>
      <c r="E106" s="8"/>
    </row>
    <row r="107" spans="1:5">
      <c r="A107" s="269"/>
      <c r="E107" s="293"/>
    </row>
    <row r="108" spans="1:5">
      <c r="C108" s="155"/>
      <c r="E108" s="8"/>
    </row>
    <row r="109" spans="1:5">
      <c r="A109" s="269"/>
      <c r="E109" s="293"/>
    </row>
    <row r="110" spans="1:5">
      <c r="C110" s="155"/>
      <c r="E110" s="8"/>
    </row>
    <row r="111" spans="1:5">
      <c r="A111" s="269"/>
      <c r="E111" s="293"/>
    </row>
    <row r="112" spans="1:5">
      <c r="C112" s="155"/>
      <c r="E112" s="8"/>
    </row>
    <row r="113" spans="1:5">
      <c r="A113" s="269"/>
      <c r="E113" s="293"/>
    </row>
    <row r="114" spans="1:5">
      <c r="C114" s="155"/>
      <c r="E114" s="8"/>
    </row>
    <row r="115" spans="1:5">
      <c r="A115" s="269"/>
      <c r="E115" s="277"/>
    </row>
    <row r="116" spans="1:5">
      <c r="C116" s="155"/>
      <c r="E116" s="79"/>
    </row>
    <row r="117" spans="1:5">
      <c r="A117" s="269"/>
      <c r="E117" s="277"/>
    </row>
    <row r="118" spans="1:5">
      <c r="C118" s="155"/>
      <c r="E118" s="79"/>
    </row>
    <row r="119" spans="1:5">
      <c r="A119" s="269"/>
      <c r="E119" s="277"/>
    </row>
    <row r="120" spans="1:5">
      <c r="C120" s="155"/>
      <c r="E120" s="79"/>
    </row>
    <row r="121" spans="1:5">
      <c r="A121" s="269"/>
      <c r="E121" s="277"/>
    </row>
    <row r="122" spans="1:5">
      <c r="C122" s="155"/>
      <c r="E122" s="79"/>
    </row>
    <row r="123" spans="1:5">
      <c r="A123" s="269"/>
      <c r="E123" s="277"/>
    </row>
    <row r="124" spans="1:5">
      <c r="C124" s="155"/>
      <c r="E124" s="79"/>
    </row>
    <row r="125" spans="1:5">
      <c r="A125" s="269"/>
      <c r="E125" s="277"/>
    </row>
    <row r="126" spans="1:5">
      <c r="C126" s="155"/>
      <c r="E126" s="79"/>
    </row>
    <row r="127" spans="1:5">
      <c r="A127" s="269"/>
      <c r="E127" s="277"/>
    </row>
    <row r="128" spans="1:5">
      <c r="C128" s="155"/>
    </row>
    <row r="129" spans="1:5">
      <c r="A129" s="269"/>
      <c r="E129" s="155"/>
    </row>
    <row r="130" spans="1:5">
      <c r="C130" s="155"/>
    </row>
    <row r="131" spans="1:5">
      <c r="A131" s="269"/>
      <c r="E131" s="155"/>
    </row>
    <row r="132" spans="1:5">
      <c r="C132" s="155"/>
    </row>
    <row r="133" spans="1:5">
      <c r="A133" s="269"/>
      <c r="E133" s="155"/>
    </row>
    <row r="134" spans="1:5">
      <c r="C134" s="155"/>
    </row>
    <row r="135" spans="1:5">
      <c r="A135" s="269"/>
      <c r="E135" s="155"/>
    </row>
    <row r="136" spans="1:5">
      <c r="C136" s="155"/>
    </row>
    <row r="137" spans="1:5">
      <c r="A137" s="269"/>
      <c r="E137" s="155"/>
    </row>
    <row r="138" spans="1:5">
      <c r="C138" s="155"/>
    </row>
    <row r="139" spans="1:5">
      <c r="A139" s="269"/>
      <c r="E139" s="155"/>
    </row>
    <row r="140" spans="1:5">
      <c r="C140" s="155"/>
    </row>
    <row r="141" spans="1:5">
      <c r="A141" s="269"/>
      <c r="E141" s="155"/>
    </row>
    <row r="142" spans="1:5">
      <c r="C142" s="155"/>
    </row>
    <row r="143" spans="1:5">
      <c r="A143" s="269"/>
      <c r="E143" s="155"/>
    </row>
    <row r="144" spans="1:5">
      <c r="C144" s="155"/>
    </row>
    <row r="145" spans="1:5">
      <c r="A145" s="269"/>
      <c r="E145" s="155"/>
    </row>
    <row r="146" spans="1:5">
      <c r="C146" s="155"/>
    </row>
    <row r="147" spans="1:5">
      <c r="A147" s="269"/>
      <c r="E147" s="155"/>
    </row>
    <row r="148" spans="1:5">
      <c r="C148" s="155"/>
    </row>
    <row r="149" spans="1:5">
      <c r="A149" s="269"/>
      <c r="E149" s="155"/>
    </row>
    <row r="150" spans="1:5">
      <c r="C150" s="155"/>
    </row>
    <row r="151" spans="1:5">
      <c r="A151" s="269"/>
      <c r="E151" s="155"/>
    </row>
    <row r="152" spans="1:5">
      <c r="C152" s="155"/>
    </row>
    <row r="153" spans="1:5">
      <c r="A153" s="269"/>
      <c r="E153" s="155"/>
    </row>
    <row r="154" spans="1:5">
      <c r="C154" s="155"/>
    </row>
    <row r="155" spans="1:5">
      <c r="A155" s="269"/>
      <c r="E155" s="155"/>
    </row>
    <row r="156" spans="1:5">
      <c r="C156" s="155"/>
    </row>
    <row r="157" spans="1:5">
      <c r="A157" s="269"/>
      <c r="E157" s="155"/>
    </row>
    <row r="158" spans="1:5">
      <c r="C158" s="155"/>
    </row>
    <row r="159" spans="1:5">
      <c r="A159" s="269"/>
      <c r="E159" s="155"/>
    </row>
    <row r="160" spans="1:5">
      <c r="C160" s="155"/>
    </row>
    <row r="161" spans="1:5">
      <c r="A161" s="269"/>
      <c r="E161" s="155"/>
    </row>
    <row r="162" spans="1:5">
      <c r="C162" s="155"/>
    </row>
    <row r="163" spans="1:5">
      <c r="A163" s="269"/>
      <c r="E163" s="155"/>
    </row>
    <row r="164" spans="1:5">
      <c r="C164" s="155"/>
    </row>
    <row r="165" spans="1:5">
      <c r="A165" s="269"/>
      <c r="E165" s="155"/>
    </row>
    <row r="166" spans="1:5">
      <c r="C166" s="155"/>
    </row>
    <row r="167" spans="1:5">
      <c r="A167" s="269"/>
      <c r="E167" s="155"/>
    </row>
    <row r="168" spans="1:5">
      <c r="C168" s="155"/>
    </row>
    <row r="169" spans="1:5">
      <c r="A169" s="269"/>
      <c r="E169" s="155"/>
    </row>
    <row r="170" spans="1:5">
      <c r="C170" s="155"/>
    </row>
    <row r="171" spans="1:5">
      <c r="A171" s="269"/>
      <c r="E171" s="155"/>
    </row>
    <row r="172" spans="1:5">
      <c r="C172" s="155"/>
    </row>
    <row r="173" spans="1:5">
      <c r="A173" s="269"/>
      <c r="E173" s="155"/>
    </row>
    <row r="174" spans="1:5">
      <c r="C174" s="155"/>
    </row>
    <row r="175" spans="1:5">
      <c r="A175" s="269"/>
      <c r="E175" s="155"/>
    </row>
    <row r="176" spans="1:5">
      <c r="C176" s="155"/>
    </row>
    <row r="177" spans="1:5">
      <c r="A177" s="269"/>
      <c r="E177" s="155"/>
    </row>
    <row r="178" spans="1:5">
      <c r="C178" s="155"/>
    </row>
    <row r="179" spans="1:5">
      <c r="A179" s="269"/>
      <c r="E179" s="155"/>
    </row>
    <row r="180" spans="1:5">
      <c r="C180" s="155"/>
    </row>
    <row r="181" spans="1:5">
      <c r="A181" s="269"/>
      <c r="E181" s="155"/>
    </row>
    <row r="182" spans="1:5">
      <c r="C182" s="155"/>
    </row>
    <row r="183" spans="1:5">
      <c r="A183" s="269"/>
      <c r="E183" s="155"/>
    </row>
    <row r="184" spans="1:5">
      <c r="C184" s="155"/>
    </row>
    <row r="185" spans="1:5">
      <c r="A185" s="269"/>
      <c r="E185" s="155"/>
    </row>
    <row r="186" spans="1:5">
      <c r="C186" s="155"/>
    </row>
    <row r="187" spans="1:5">
      <c r="A187" s="269"/>
      <c r="E187" s="155"/>
    </row>
    <row r="188" spans="1:5">
      <c r="C188" s="155"/>
    </row>
    <row r="189" spans="1:5">
      <c r="A189" s="269"/>
      <c r="E189" s="155"/>
    </row>
    <row r="190" spans="1:5">
      <c r="C190" s="155"/>
    </row>
    <row r="191" spans="1:5">
      <c r="A191" s="269"/>
      <c r="E191" s="155"/>
    </row>
    <row r="192" spans="1:5">
      <c r="C192" s="155"/>
    </row>
    <row r="193" spans="1:5">
      <c r="A193" s="269"/>
      <c r="E193" s="155"/>
    </row>
    <row r="194" spans="1:5">
      <c r="C194" s="155"/>
    </row>
    <row r="195" spans="1:5">
      <c r="A195" s="269"/>
      <c r="E195" s="155"/>
    </row>
    <row r="196" spans="1:5">
      <c r="C196" s="155"/>
    </row>
    <row r="197" spans="1:5">
      <c r="A197" s="269"/>
      <c r="E197" s="155"/>
    </row>
    <row r="198" spans="1:5">
      <c r="C198" s="155"/>
    </row>
    <row r="199" spans="1:5">
      <c r="A199" s="269"/>
      <c r="E199" s="155"/>
    </row>
    <row r="200" spans="1:5">
      <c r="C200" s="155"/>
    </row>
    <row r="201" spans="1:5">
      <c r="A201" s="269"/>
      <c r="E201" s="155"/>
    </row>
    <row r="202" spans="1:5">
      <c r="C202" s="155"/>
    </row>
    <row r="203" spans="1:5">
      <c r="A203" s="269"/>
      <c r="E203" s="155"/>
    </row>
    <row r="204" spans="1:5">
      <c r="D204" s="155"/>
    </row>
    <row r="205" spans="1:5">
      <c r="A205" s="269"/>
      <c r="E205" s="155"/>
    </row>
    <row r="206" spans="1:5">
      <c r="C206" s="155"/>
    </row>
    <row r="207" spans="1:5">
      <c r="A207" s="269"/>
      <c r="E207" s="155"/>
    </row>
    <row r="208" spans="1:5">
      <c r="C208" s="155"/>
    </row>
    <row r="209" spans="1:5">
      <c r="A209" s="269"/>
      <c r="E209" s="155"/>
    </row>
    <row r="210" spans="1:5">
      <c r="C210" s="155"/>
    </row>
    <row r="211" spans="1:5">
      <c r="A211" s="269"/>
      <c r="E211" s="155"/>
    </row>
    <row r="212" spans="1:5">
      <c r="C212" s="155"/>
    </row>
    <row r="213" spans="1:5">
      <c r="A213" s="269"/>
      <c r="E213" s="155"/>
    </row>
    <row r="214" spans="1:5">
      <c r="C214" s="155"/>
    </row>
    <row r="215" spans="1:5">
      <c r="A215" s="269"/>
    </row>
  </sheetData>
  <mergeCells count="16"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A9883-2146-40A3-897B-CC080D8603C7}">
  <dimension ref="A6:R215"/>
  <sheetViews>
    <sheetView showGridLines="0" topLeftCell="A6" workbookViewId="0">
      <selection activeCell="A6" sqref="A1:XFD1048576"/>
    </sheetView>
  </sheetViews>
  <sheetFormatPr baseColWidth="10" defaultRowHeight="14.5"/>
  <cols>
    <col min="2" max="2" width="32" customWidth="1"/>
    <col min="4" max="4" width="22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</row>
    <row r="12" spans="1:12" ht="19" thickBot="1">
      <c r="A12" s="1"/>
      <c r="B12" s="331" t="s">
        <v>2</v>
      </c>
      <c r="C12" s="332"/>
      <c r="D12" s="332"/>
      <c r="E12" s="333"/>
      <c r="F12" s="295"/>
      <c r="G12" s="296"/>
      <c r="H12" s="1"/>
      <c r="I12" s="1"/>
      <c r="J12" s="76"/>
      <c r="K12" s="1"/>
    </row>
    <row r="13" spans="1:12" ht="18" thickBot="1">
      <c r="A13" s="1"/>
      <c r="B13" s="1"/>
      <c r="C13" s="1"/>
      <c r="D13" s="1"/>
      <c r="E13" s="1"/>
      <c r="F13" s="215"/>
      <c r="G13" s="11"/>
      <c r="H13" s="11"/>
      <c r="I13" s="11"/>
      <c r="J13" s="15"/>
      <c r="K13" s="16"/>
    </row>
    <row r="14" spans="1:12" ht="18" thickBot="1">
      <c r="A14" s="11"/>
      <c r="B14" s="334" t="s">
        <v>3</v>
      </c>
      <c r="C14" s="335"/>
      <c r="D14" s="336"/>
      <c r="E14" s="17">
        <f>SUM(E15:E17)</f>
        <v>278014.18</v>
      </c>
      <c r="F14" s="264"/>
      <c r="G14" s="331" t="s">
        <v>4</v>
      </c>
      <c r="H14" s="332"/>
      <c r="I14" s="332"/>
      <c r="J14" s="332"/>
      <c r="K14" s="333"/>
      <c r="L14" s="13"/>
    </row>
    <row r="15" spans="1:12">
      <c r="A15" s="1"/>
      <c r="B15" s="337" t="s">
        <v>5</v>
      </c>
      <c r="C15" s="338"/>
      <c r="D15" s="339"/>
      <c r="E15" s="20">
        <f>J16+J17+J18+J19</f>
        <v>176694</v>
      </c>
      <c r="F15" s="153"/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33136.800000000003</v>
      </c>
      <c r="F16" s="153"/>
      <c r="G16" s="22">
        <v>25564.34</v>
      </c>
      <c r="H16" s="23" t="s">
        <v>8</v>
      </c>
      <c r="I16" s="24"/>
      <c r="J16" s="25">
        <v>20081.259999999998</v>
      </c>
      <c r="K16" s="26" t="s">
        <v>9</v>
      </c>
      <c r="L16" s="19"/>
    </row>
    <row r="17" spans="1:18">
      <c r="A17" s="1"/>
      <c r="B17" s="352" t="s">
        <v>6</v>
      </c>
      <c r="C17" s="353"/>
      <c r="D17" s="354"/>
      <c r="E17" s="28">
        <f>G16+G17+G18</f>
        <v>68183.38</v>
      </c>
      <c r="F17" s="150">
        <f>E15+E16+E17</f>
        <v>278014.18</v>
      </c>
      <c r="G17" s="22">
        <v>18852.189999999999</v>
      </c>
      <c r="H17" s="29" t="s">
        <v>10</v>
      </c>
      <c r="I17" s="30"/>
      <c r="J17" s="25">
        <v>20308.45</v>
      </c>
      <c r="K17" s="31" t="s">
        <v>10</v>
      </c>
      <c r="L17" s="13"/>
    </row>
    <row r="18" spans="1:18">
      <c r="A18" s="1"/>
      <c r="B18" s="236" t="s">
        <v>187</v>
      </c>
      <c r="C18" s="237"/>
      <c r="D18" s="238"/>
      <c r="E18" s="28">
        <f>+J22</f>
        <v>23147.18</v>
      </c>
      <c r="F18" s="150">
        <v>90000</v>
      </c>
      <c r="G18" s="22">
        <v>23766.85</v>
      </c>
      <c r="H18" s="29" t="s">
        <v>12</v>
      </c>
      <c r="I18" s="30"/>
      <c r="J18" s="25">
        <v>63577.43</v>
      </c>
      <c r="K18" s="31" t="s">
        <v>12</v>
      </c>
      <c r="L18" s="13"/>
      <c r="N18" s="3"/>
    </row>
    <row r="19" spans="1:18">
      <c r="B19" s="379" t="s">
        <v>11</v>
      </c>
      <c r="C19" s="380"/>
      <c r="D19" s="381"/>
      <c r="E19" s="20">
        <f>G29+G31+G30+G28</f>
        <v>15066.05</v>
      </c>
      <c r="F19" s="150">
        <f>+F17-F18</f>
        <v>188014.18</v>
      </c>
      <c r="G19" s="33"/>
      <c r="H19" s="34"/>
      <c r="I19" s="30"/>
      <c r="J19" s="25">
        <v>72726.86</v>
      </c>
      <c r="K19" s="31" t="s">
        <v>14</v>
      </c>
      <c r="N19" s="3"/>
    </row>
    <row r="20" spans="1:18">
      <c r="B20" s="344" t="s">
        <v>13</v>
      </c>
      <c r="C20" s="345"/>
      <c r="D20" s="346"/>
      <c r="E20" s="20">
        <v>19476959.07</v>
      </c>
      <c r="F20" s="150"/>
      <c r="G20" s="239"/>
      <c r="H20" s="240"/>
      <c r="I20" s="30"/>
      <c r="J20" s="25"/>
      <c r="K20" s="31"/>
      <c r="L20" s="152"/>
      <c r="N20" s="3"/>
    </row>
    <row r="21" spans="1:18">
      <c r="B21" s="187" t="s">
        <v>15</v>
      </c>
      <c r="C21" s="188"/>
      <c r="D21" s="189"/>
      <c r="E21" s="190">
        <f>SUM(E22:E25)</f>
        <v>94328.94</v>
      </c>
      <c r="F21" s="150"/>
      <c r="G21" s="361" t="s">
        <v>16</v>
      </c>
      <c r="H21" s="362"/>
      <c r="I21" s="36"/>
      <c r="J21" s="241" t="s">
        <v>187</v>
      </c>
      <c r="K21" s="242"/>
      <c r="L21" s="294"/>
      <c r="M21" s="294"/>
      <c r="N21" s="268"/>
    </row>
    <row r="22" spans="1:18">
      <c r="B22" s="187"/>
      <c r="C22" s="188"/>
      <c r="D22" s="300" t="s">
        <v>388</v>
      </c>
      <c r="E22" s="190">
        <v>43636.94</v>
      </c>
      <c r="F22" s="150"/>
      <c r="G22" s="44">
        <v>19980.240000000002</v>
      </c>
      <c r="H22" s="29" t="s">
        <v>10</v>
      </c>
      <c r="I22" s="30"/>
      <c r="J22" s="25">
        <v>23147.18</v>
      </c>
      <c r="K22" s="31" t="s">
        <v>188</v>
      </c>
      <c r="L22" s="294"/>
      <c r="M22" s="294"/>
    </row>
    <row r="23" spans="1:18">
      <c r="B23" s="187"/>
      <c r="C23" s="188"/>
      <c r="D23" s="198" t="s">
        <v>389</v>
      </c>
      <c r="E23" s="190">
        <v>50692</v>
      </c>
      <c r="F23" s="150"/>
      <c r="G23" s="44">
        <v>13156.56</v>
      </c>
      <c r="H23" s="29" t="s">
        <v>18</v>
      </c>
      <c r="I23" s="30"/>
      <c r="J23" s="25"/>
      <c r="K23" s="31"/>
      <c r="L23" s="294"/>
      <c r="M23" s="294"/>
    </row>
    <row r="24" spans="1:18" ht="15" thickBot="1">
      <c r="B24" s="187"/>
      <c r="C24" s="188"/>
      <c r="D24" s="198"/>
      <c r="E24" s="190">
        <v>0</v>
      </c>
      <c r="F24" s="150"/>
      <c r="G24" s="51"/>
      <c r="H24" s="34"/>
      <c r="I24" s="30"/>
      <c r="J24" s="210"/>
      <c r="K24" s="53"/>
      <c r="L24" s="294"/>
      <c r="M24" s="294"/>
      <c r="O24" s="235"/>
    </row>
    <row r="25" spans="1:18" ht="15" thickBot="1">
      <c r="B25" s="187"/>
      <c r="C25" s="188"/>
      <c r="D25" s="198"/>
      <c r="E25" s="190">
        <v>0</v>
      </c>
      <c r="F25" s="150"/>
      <c r="G25" s="331" t="s">
        <v>21</v>
      </c>
      <c r="H25" s="332"/>
      <c r="I25" s="332"/>
      <c r="J25" s="332"/>
      <c r="K25" s="333"/>
    </row>
    <row r="26" spans="1:18">
      <c r="B26" s="202" t="s">
        <v>17</v>
      </c>
      <c r="C26" s="203"/>
      <c r="D26" s="204"/>
      <c r="E26" s="234">
        <v>62463.6</v>
      </c>
      <c r="F26" s="219"/>
      <c r="G26" s="54"/>
      <c r="H26" s="55"/>
      <c r="I26" s="56"/>
      <c r="J26" s="211"/>
      <c r="K26" s="58"/>
      <c r="N26" s="290"/>
    </row>
    <row r="27" spans="1:18">
      <c r="B27" s="202" t="s">
        <v>163</v>
      </c>
      <c r="C27" s="203"/>
      <c r="D27" s="204"/>
      <c r="E27" s="234">
        <v>235000</v>
      </c>
      <c r="F27" s="150">
        <f>+F19-E26</f>
        <v>125550.57999999999</v>
      </c>
      <c r="G27" s="377" t="s">
        <v>5</v>
      </c>
      <c r="H27" s="378"/>
      <c r="I27" s="59"/>
      <c r="J27" s="60"/>
      <c r="K27" s="45"/>
      <c r="N27" s="290"/>
      <c r="Q27" s="155"/>
      <c r="R27" s="155"/>
    </row>
    <row r="28" spans="1:18">
      <c r="B28" s="199" t="s">
        <v>22</v>
      </c>
      <c r="C28" s="200"/>
      <c r="D28" s="201"/>
      <c r="E28" s="234">
        <v>29301</v>
      </c>
      <c r="F28" s="289">
        <f>SUM(E26:E32)</f>
        <v>326764.59999999998</v>
      </c>
      <c r="G28" s="22">
        <v>4177.55</v>
      </c>
      <c r="H28" s="62" t="s">
        <v>9</v>
      </c>
      <c r="I28" s="59"/>
      <c r="J28" s="60"/>
      <c r="K28" s="45"/>
      <c r="N28" s="290"/>
      <c r="P28" s="155"/>
      <c r="R28" s="155"/>
    </row>
    <row r="29" spans="1:18">
      <c r="B29" s="199" t="s">
        <v>50</v>
      </c>
      <c r="C29" s="200"/>
      <c r="D29" s="201"/>
      <c r="E29" s="234">
        <v>0</v>
      </c>
      <c r="F29" s="150">
        <f>+F27-F28</f>
        <v>-201214.02</v>
      </c>
      <c r="G29" s="22">
        <v>1707.93</v>
      </c>
      <c r="H29" s="62" t="s">
        <v>26</v>
      </c>
      <c r="I29" s="63"/>
      <c r="J29" s="64" t="s">
        <v>27</v>
      </c>
      <c r="K29" s="65" t="s">
        <v>28</v>
      </c>
      <c r="M29" s="291"/>
      <c r="N29" s="292"/>
    </row>
    <row r="30" spans="1:18">
      <c r="B30" s="199" t="s">
        <v>24</v>
      </c>
      <c r="C30" s="200"/>
      <c r="D30" s="201"/>
      <c r="E30" s="49">
        <v>0</v>
      </c>
      <c r="F30" s="221"/>
      <c r="G30" s="67">
        <v>1908.62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1:18" ht="15" thickBot="1">
      <c r="B31" s="344" t="s">
        <v>69</v>
      </c>
      <c r="C31" s="345"/>
      <c r="D31" s="346"/>
      <c r="E31" s="234">
        <v>0</v>
      </c>
      <c r="F31" s="220"/>
      <c r="G31" s="71">
        <v>7271.95</v>
      </c>
      <c r="H31" s="72" t="s">
        <v>12</v>
      </c>
      <c r="I31" s="73"/>
      <c r="J31" s="74" t="s">
        <v>32</v>
      </c>
      <c r="K31" s="75" t="s">
        <v>33</v>
      </c>
    </row>
    <row r="32" spans="1:18" ht="15" thickBot="1">
      <c r="B32" s="363" t="s">
        <v>29</v>
      </c>
      <c r="C32" s="364"/>
      <c r="D32" s="365"/>
      <c r="E32" s="66">
        <v>0</v>
      </c>
      <c r="F32" s="220"/>
      <c r="N32" s="269"/>
      <c r="P32" s="155"/>
      <c r="R32" s="155"/>
    </row>
    <row r="33" spans="2:18">
      <c r="E33" s="61"/>
      <c r="F33" s="219"/>
    </row>
    <row r="34" spans="2:18">
      <c r="E34" s="61"/>
      <c r="F34" s="219"/>
      <c r="H34" s="61"/>
      <c r="I34" s="61"/>
      <c r="J34" s="39"/>
      <c r="K34" s="61"/>
      <c r="N34" s="269"/>
      <c r="P34" s="155"/>
      <c r="R34" s="155"/>
    </row>
    <row r="35" spans="2:18">
      <c r="E35" s="61"/>
      <c r="F35" s="219"/>
      <c r="G35" s="8"/>
      <c r="H35" s="61"/>
      <c r="I35" s="61"/>
      <c r="J35" s="39"/>
      <c r="K35" s="61"/>
    </row>
    <row r="36" spans="2:18">
      <c r="E36" s="61"/>
      <c r="F36" s="219"/>
      <c r="G36" s="8"/>
      <c r="H36" s="13"/>
      <c r="I36" s="61"/>
      <c r="J36" s="13"/>
      <c r="K36" s="83"/>
      <c r="L36" s="61"/>
      <c r="M36" s="61"/>
      <c r="N36" s="269"/>
      <c r="P36" s="155"/>
      <c r="R36" s="155"/>
    </row>
    <row r="37" spans="2:18">
      <c r="B37" s="61"/>
      <c r="C37" s="61"/>
      <c r="D37" s="61"/>
      <c r="E37" s="78" t="s">
        <v>384</v>
      </c>
      <c r="F37" s="297"/>
      <c r="G37" s="181"/>
      <c r="H37" s="161"/>
      <c r="I37" s="197"/>
      <c r="J37" s="13"/>
      <c r="K37" s="83"/>
      <c r="L37" s="61"/>
      <c r="M37" s="61"/>
    </row>
    <row r="38" spans="2:18" s="61" customFormat="1" ht="15" customHeight="1">
      <c r="E38" s="78"/>
      <c r="F38" s="297"/>
      <c r="G38" s="86"/>
      <c r="H38" s="161"/>
      <c r="I38" s="197"/>
      <c r="J38" s="13"/>
      <c r="K38" s="83"/>
      <c r="L38" s="88"/>
      <c r="N38" s="272"/>
      <c r="P38" s="273"/>
      <c r="R38" s="273"/>
    </row>
    <row r="39" spans="2:18" s="61" customFormat="1" ht="15" customHeight="1">
      <c r="E39" s="83" t="s">
        <v>34</v>
      </c>
      <c r="F39" s="297">
        <f>F19</f>
        <v>188014.18</v>
      </c>
      <c r="G39" s="86"/>
      <c r="I39" s="197"/>
      <c r="J39" s="13"/>
      <c r="K39" s="85"/>
      <c r="L39" s="161"/>
      <c r="M39" s="197"/>
    </row>
    <row r="40" spans="2:18" s="61" customFormat="1" ht="15" customHeight="1">
      <c r="E40" s="83" t="s">
        <v>35</v>
      </c>
      <c r="F40" s="297">
        <f>+E19</f>
        <v>15066.05</v>
      </c>
      <c r="G40" s="86"/>
      <c r="I40" s="214"/>
      <c r="J40" s="13"/>
      <c r="K40" s="87"/>
      <c r="L40" s="161"/>
      <c r="M40" s="197"/>
      <c r="N40" s="272"/>
      <c r="P40" s="273"/>
      <c r="R40" s="273"/>
    </row>
    <row r="41" spans="2:18" s="61" customFormat="1" ht="15" customHeight="1">
      <c r="E41" s="83" t="s">
        <v>36</v>
      </c>
      <c r="F41" s="297">
        <v>0</v>
      </c>
      <c r="G41" s="9"/>
      <c r="I41" s="197"/>
      <c r="J41" s="13"/>
      <c r="M41" s="197"/>
    </row>
    <row r="42" spans="2:18" s="61" customFormat="1" ht="15" customHeight="1">
      <c r="E42" s="83" t="s">
        <v>37</v>
      </c>
      <c r="F42" s="297">
        <v>0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85" t="s">
        <v>38</v>
      </c>
      <c r="F43" s="231">
        <f>SUM(F39:F42)</f>
        <v>203080.22999999998</v>
      </c>
      <c r="G43" s="9"/>
      <c r="H43" s="163"/>
      <c r="I43" s="229"/>
      <c r="J43" s="13"/>
      <c r="M43" s="197"/>
    </row>
    <row r="44" spans="2:18" s="61" customFormat="1" ht="15" customHeight="1">
      <c r="E44" s="87"/>
      <c r="F44" s="232"/>
      <c r="G44" s="9"/>
      <c r="H44" s="165"/>
      <c r="I44" s="230"/>
      <c r="J44" s="13"/>
      <c r="M44" s="197"/>
      <c r="N44" s="272"/>
      <c r="P44" s="273"/>
      <c r="R44" s="273"/>
    </row>
    <row r="45" spans="2:18" s="61" customFormat="1" ht="15" customHeight="1">
      <c r="E45" s="87" t="s">
        <v>152</v>
      </c>
      <c r="F45" s="232">
        <v>235000</v>
      </c>
      <c r="G45" s="9"/>
      <c r="H45" s="165"/>
      <c r="I45" s="230"/>
      <c r="J45" s="13"/>
      <c r="M45" s="197"/>
      <c r="N45" s="272"/>
      <c r="P45" s="273"/>
      <c r="R45" s="273"/>
    </row>
    <row r="46" spans="2:18" s="61" customFormat="1" ht="15" customHeight="1">
      <c r="E46" s="87" t="s">
        <v>180</v>
      </c>
      <c r="F46" s="232">
        <v>0</v>
      </c>
      <c r="G46" s="9"/>
      <c r="H46" s="165"/>
      <c r="I46" s="230"/>
      <c r="J46" s="13"/>
      <c r="M46" s="197"/>
      <c r="N46" s="272"/>
      <c r="P46" s="273"/>
      <c r="R46" s="273"/>
    </row>
    <row r="47" spans="2:18" s="61" customFormat="1" ht="15" customHeight="1">
      <c r="E47" s="87" t="s">
        <v>189</v>
      </c>
      <c r="F47" s="232">
        <v>0</v>
      </c>
      <c r="G47" s="9"/>
      <c r="H47" s="165"/>
      <c r="I47" s="230"/>
      <c r="J47" s="13"/>
      <c r="M47" s="197"/>
      <c r="N47" s="272"/>
      <c r="P47" s="273"/>
      <c r="R47" s="273"/>
    </row>
    <row r="48" spans="2:18" s="61" customFormat="1" ht="15" customHeight="1">
      <c r="E48" s="87" t="s">
        <v>78</v>
      </c>
      <c r="F48" s="232">
        <v>0</v>
      </c>
      <c r="G48" s="9"/>
      <c r="H48" s="165"/>
      <c r="I48" s="230"/>
      <c r="J48" s="13"/>
      <c r="L48" s="165"/>
      <c r="M48" s="230"/>
      <c r="N48" s="272"/>
      <c r="P48" s="273"/>
      <c r="R48" s="273"/>
    </row>
    <row r="49" spans="2:13" s="61" customFormat="1" ht="15" customHeight="1">
      <c r="E49" s="87" t="s">
        <v>64</v>
      </c>
      <c r="F49" s="232">
        <v>0</v>
      </c>
      <c r="G49" s="9"/>
      <c r="H49" s="165"/>
      <c r="I49" s="230"/>
      <c r="J49" s="13"/>
    </row>
    <row r="50" spans="2:13" s="61" customFormat="1" ht="15" customHeight="1">
      <c r="E50" s="91" t="s">
        <v>24</v>
      </c>
      <c r="F50" s="228">
        <v>0</v>
      </c>
      <c r="G50" s="8"/>
      <c r="H50" s="91"/>
      <c r="I50" s="231"/>
      <c r="J50" s="13"/>
    </row>
    <row r="51" spans="2:13" s="61" customFormat="1" ht="15" customHeight="1">
      <c r="E51" s="91" t="s">
        <v>22</v>
      </c>
      <c r="F51" s="228">
        <v>50000</v>
      </c>
      <c r="G51" s="8"/>
      <c r="H51" s="96"/>
      <c r="I51" s="231"/>
      <c r="J51" s="262"/>
    </row>
    <row r="52" spans="2:13" s="61" customFormat="1">
      <c r="E52" s="91" t="s">
        <v>40</v>
      </c>
      <c r="F52" s="232">
        <v>62463.6</v>
      </c>
      <c r="G52" s="82"/>
      <c r="H52" s="83"/>
      <c r="I52" s="228"/>
      <c r="J52" s="13"/>
    </row>
    <row r="53" spans="2:13" s="61" customFormat="1">
      <c r="E53" s="91" t="s">
        <v>385</v>
      </c>
      <c r="F53" s="232">
        <v>0</v>
      </c>
      <c r="G53" s="82"/>
      <c r="H53" s="83"/>
      <c r="I53" s="228"/>
      <c r="J53" s="13"/>
    </row>
    <row r="54" spans="2:13" s="61" customFormat="1">
      <c r="E54" s="91" t="s">
        <v>69</v>
      </c>
      <c r="F54" s="232">
        <v>0</v>
      </c>
      <c r="G54" s="82"/>
      <c r="H54" s="83"/>
      <c r="I54" s="228"/>
      <c r="J54" s="13"/>
    </row>
    <row r="55" spans="2:13" s="61" customFormat="1">
      <c r="E55" s="96" t="s">
        <v>41</v>
      </c>
      <c r="F55" s="231">
        <f>SUM(F45:F54)</f>
        <v>347463.6</v>
      </c>
      <c r="G55" s="82"/>
      <c r="H55" s="83"/>
      <c r="I55" s="233"/>
      <c r="J55" s="13"/>
    </row>
    <row r="56" spans="2:13" s="61" customFormat="1">
      <c r="E56" s="96" t="s">
        <v>42</v>
      </c>
      <c r="F56" s="231">
        <f>F43-F55</f>
        <v>-144383.37</v>
      </c>
      <c r="G56" s="82"/>
      <c r="H56" s="83"/>
      <c r="I56" s="233"/>
      <c r="J56" s="13"/>
    </row>
    <row r="57" spans="2:13" s="61" customFormat="1">
      <c r="E57" s="83"/>
      <c r="F57" s="151"/>
      <c r="G57" s="82"/>
      <c r="H57" s="83"/>
      <c r="I57" s="233"/>
      <c r="J57" s="13"/>
      <c r="L57" s="91"/>
      <c r="M57" s="232"/>
    </row>
    <row r="58" spans="2:13" s="61" customFormat="1">
      <c r="E58" s="83" t="s">
        <v>43</v>
      </c>
      <c r="F58" s="151">
        <v>0</v>
      </c>
      <c r="G58" s="82"/>
      <c r="H58" s="96"/>
      <c r="I58" s="228"/>
      <c r="J58" s="13"/>
      <c r="L58" s="91"/>
      <c r="M58" s="232"/>
    </row>
    <row r="59" spans="2:13" s="61" customFormat="1">
      <c r="E59" s="83" t="s">
        <v>44</v>
      </c>
      <c r="F59" s="151">
        <v>0</v>
      </c>
      <c r="G59" s="82"/>
      <c r="H59" s="96"/>
      <c r="I59" s="228"/>
      <c r="J59" s="13"/>
      <c r="L59" s="91"/>
      <c r="M59" s="232"/>
    </row>
    <row r="60" spans="2:13" s="61" customFormat="1">
      <c r="E60" s="83" t="s">
        <v>386</v>
      </c>
      <c r="F60" s="151">
        <v>3866.8</v>
      </c>
      <c r="G60" s="82"/>
      <c r="H60" s="83"/>
      <c r="I60" s="233"/>
      <c r="J60" s="13"/>
      <c r="L60" s="96"/>
      <c r="M60" s="231"/>
    </row>
    <row r="61" spans="2:13" s="61" customFormat="1">
      <c r="E61" s="83" t="s">
        <v>45</v>
      </c>
      <c r="F61" s="95">
        <v>993098.58</v>
      </c>
      <c r="G61" s="8"/>
      <c r="H61" s="96"/>
      <c r="I61" s="219"/>
      <c r="J61" s="13"/>
      <c r="L61" s="96"/>
      <c r="M61" s="233"/>
    </row>
    <row r="62" spans="2:13" s="61" customFormat="1">
      <c r="E62" s="83" t="s">
        <v>205</v>
      </c>
      <c r="F62" s="95">
        <v>495308</v>
      </c>
      <c r="G62" s="8"/>
      <c r="J62" s="13"/>
    </row>
    <row r="63" spans="2:13" s="61" customFormat="1">
      <c r="B63"/>
      <c r="C63"/>
      <c r="D63"/>
      <c r="E63" s="83" t="s">
        <v>206</v>
      </c>
      <c r="F63" s="95">
        <v>1100000</v>
      </c>
      <c r="G63" s="8"/>
      <c r="J63" s="13"/>
      <c r="L63" s="83"/>
      <c r="M63" s="228"/>
    </row>
    <row r="64" spans="2:13">
      <c r="E64" s="96" t="s">
        <v>46</v>
      </c>
      <c r="F64" s="99">
        <f>SUM(F58:F63)</f>
        <v>2592273.38</v>
      </c>
      <c r="G64" s="8"/>
      <c r="L64" s="61"/>
      <c r="M64" s="61"/>
    </row>
    <row r="65" spans="1:13">
      <c r="E65" s="83"/>
      <c r="F65" s="151"/>
      <c r="G65" s="8"/>
      <c r="L65" s="61"/>
      <c r="M65" s="61"/>
    </row>
    <row r="66" spans="1:13">
      <c r="E66" s="96" t="s">
        <v>47</v>
      </c>
      <c r="F66" s="99">
        <f>F56-F64</f>
        <v>-2736656.75</v>
      </c>
      <c r="G66" s="8"/>
    </row>
    <row r="67" spans="1:13">
      <c r="D67" s="247" t="s">
        <v>192</v>
      </c>
      <c r="E67" s="61"/>
      <c r="F67" s="219"/>
      <c r="G67" s="8"/>
    </row>
    <row r="68" spans="1:13">
      <c r="D68" s="247" t="s">
        <v>194</v>
      </c>
      <c r="E68" s="61"/>
      <c r="F68" s="219"/>
      <c r="G68" s="8"/>
    </row>
    <row r="69" spans="1:13">
      <c r="D69" s="8" t="s">
        <v>9</v>
      </c>
      <c r="E69" s="61"/>
      <c r="F69" s="219"/>
      <c r="G69" s="124">
        <f>SUM(E77:F77)</f>
        <v>0</v>
      </c>
    </row>
    <row r="70" spans="1:13">
      <c r="D70" s="8" t="s">
        <v>195</v>
      </c>
      <c r="E70" s="61"/>
      <c r="F70" s="219"/>
      <c r="G70" s="8"/>
    </row>
    <row r="71" spans="1:13">
      <c r="D71" s="8" t="s">
        <v>188</v>
      </c>
      <c r="E71" s="243"/>
      <c r="F71" s="243"/>
      <c r="G71" s="8"/>
    </row>
    <row r="72" spans="1:13">
      <c r="D72" s="8"/>
      <c r="E72" s="243"/>
      <c r="F72" s="244"/>
    </row>
    <row r="73" spans="1:13">
      <c r="E73" s="245"/>
      <c r="F73" s="246"/>
    </row>
    <row r="74" spans="1:13">
      <c r="E74" s="245"/>
      <c r="F74" s="246"/>
    </row>
    <row r="75" spans="1:13">
      <c r="E75" s="249"/>
      <c r="F75" s="287"/>
    </row>
    <row r="76" spans="1:13">
      <c r="E76" s="124"/>
      <c r="F76" s="287"/>
    </row>
    <row r="77" spans="1:13">
      <c r="E77" s="8"/>
    </row>
    <row r="78" spans="1:13">
      <c r="E78" s="8"/>
    </row>
    <row r="79" spans="1:13">
      <c r="A79" s="268"/>
      <c r="E79" s="8"/>
    </row>
    <row r="80" spans="1:13">
      <c r="E80" s="8"/>
    </row>
    <row r="81" spans="1:5">
      <c r="B81" s="235"/>
      <c r="E81" s="8"/>
    </row>
    <row r="82" spans="1:5">
      <c r="E82" s="8"/>
    </row>
    <row r="83" spans="1:5">
      <c r="E83" s="293"/>
    </row>
    <row r="84" spans="1:5">
      <c r="C84" s="155"/>
      <c r="E84" s="8"/>
    </row>
    <row r="85" spans="1:5">
      <c r="A85" s="269"/>
      <c r="E85" s="293"/>
    </row>
    <row r="86" spans="1:5">
      <c r="C86" s="155"/>
      <c r="E86" s="8"/>
    </row>
    <row r="87" spans="1:5">
      <c r="A87" s="269"/>
      <c r="E87" s="293"/>
    </row>
    <row r="88" spans="1:5">
      <c r="C88" s="155"/>
      <c r="E88" s="8"/>
    </row>
    <row r="89" spans="1:5">
      <c r="A89" s="269"/>
      <c r="E89" s="293"/>
    </row>
    <row r="90" spans="1:5">
      <c r="C90" s="155"/>
      <c r="E90" s="8"/>
    </row>
    <row r="91" spans="1:5">
      <c r="A91" s="269"/>
      <c r="E91" s="293"/>
    </row>
    <row r="92" spans="1:5">
      <c r="C92" s="155"/>
      <c r="E92" s="8"/>
    </row>
    <row r="93" spans="1:5">
      <c r="A93" s="269"/>
      <c r="E93" s="293"/>
    </row>
    <row r="94" spans="1:5">
      <c r="C94" s="155"/>
      <c r="E94" s="8"/>
    </row>
    <row r="95" spans="1:5">
      <c r="A95" s="269"/>
      <c r="E95" s="293"/>
    </row>
    <row r="96" spans="1:5">
      <c r="C96" s="155"/>
      <c r="E96" s="8"/>
    </row>
    <row r="97" spans="1:5">
      <c r="A97" s="269"/>
      <c r="E97" s="293"/>
    </row>
    <row r="98" spans="1:5">
      <c r="C98" s="155"/>
      <c r="E98" s="8"/>
    </row>
    <row r="99" spans="1:5">
      <c r="A99" s="269"/>
      <c r="E99" s="293"/>
    </row>
    <row r="100" spans="1:5">
      <c r="C100" s="155"/>
      <c r="E100" s="8"/>
    </row>
    <row r="101" spans="1:5">
      <c r="A101" s="269"/>
      <c r="E101" s="293"/>
    </row>
    <row r="102" spans="1:5">
      <c r="C102" s="155"/>
      <c r="E102" s="8"/>
    </row>
    <row r="103" spans="1:5">
      <c r="A103" s="269"/>
      <c r="E103" s="293"/>
    </row>
    <row r="104" spans="1:5">
      <c r="C104" s="155"/>
      <c r="E104" s="8"/>
    </row>
    <row r="105" spans="1:5">
      <c r="A105" s="269"/>
      <c r="E105" s="293"/>
    </row>
    <row r="106" spans="1:5">
      <c r="C106" s="155"/>
      <c r="E106" s="8"/>
    </row>
    <row r="107" spans="1:5">
      <c r="A107" s="269"/>
      <c r="E107" s="293"/>
    </row>
    <row r="108" spans="1:5">
      <c r="C108" s="155"/>
      <c r="E108" s="8"/>
    </row>
    <row r="109" spans="1:5">
      <c r="A109" s="269"/>
      <c r="E109" s="293"/>
    </row>
    <row r="110" spans="1:5">
      <c r="C110" s="155"/>
      <c r="E110" s="8"/>
    </row>
    <row r="111" spans="1:5">
      <c r="A111" s="269"/>
      <c r="E111" s="293"/>
    </row>
    <row r="112" spans="1:5">
      <c r="C112" s="155"/>
      <c r="E112" s="8"/>
    </row>
    <row r="113" spans="1:5">
      <c r="A113" s="269"/>
      <c r="E113" s="293"/>
    </row>
    <row r="114" spans="1:5">
      <c r="C114" s="155"/>
      <c r="E114" s="8"/>
    </row>
    <row r="115" spans="1:5">
      <c r="A115" s="269"/>
      <c r="E115" s="277"/>
    </row>
    <row r="116" spans="1:5">
      <c r="C116" s="155"/>
      <c r="E116" s="79"/>
    </row>
    <row r="117" spans="1:5">
      <c r="A117" s="269"/>
      <c r="E117" s="277"/>
    </row>
    <row r="118" spans="1:5">
      <c r="C118" s="155"/>
      <c r="E118" s="79"/>
    </row>
    <row r="119" spans="1:5">
      <c r="A119" s="269"/>
      <c r="E119" s="277"/>
    </row>
    <row r="120" spans="1:5">
      <c r="C120" s="155"/>
      <c r="E120" s="79"/>
    </row>
    <row r="121" spans="1:5">
      <c r="A121" s="269"/>
      <c r="E121" s="277"/>
    </row>
    <row r="122" spans="1:5">
      <c r="C122" s="155"/>
      <c r="E122" s="79"/>
    </row>
    <row r="123" spans="1:5">
      <c r="A123" s="269"/>
      <c r="E123" s="277"/>
    </row>
    <row r="124" spans="1:5">
      <c r="C124" s="155"/>
      <c r="E124" s="79"/>
    </row>
    <row r="125" spans="1:5">
      <c r="A125" s="269"/>
      <c r="E125" s="277"/>
    </row>
    <row r="126" spans="1:5">
      <c r="C126" s="155"/>
      <c r="E126" s="79"/>
    </row>
    <row r="127" spans="1:5">
      <c r="A127" s="269"/>
      <c r="E127" s="277"/>
    </row>
    <row r="128" spans="1:5">
      <c r="C128" s="155"/>
    </row>
    <row r="129" spans="1:5">
      <c r="A129" s="269"/>
      <c r="E129" s="155"/>
    </row>
    <row r="130" spans="1:5">
      <c r="C130" s="155"/>
    </row>
    <row r="131" spans="1:5">
      <c r="A131" s="269"/>
      <c r="E131" s="155"/>
    </row>
    <row r="132" spans="1:5">
      <c r="C132" s="155"/>
    </row>
    <row r="133" spans="1:5">
      <c r="A133" s="269"/>
      <c r="E133" s="155"/>
    </row>
    <row r="134" spans="1:5">
      <c r="C134" s="155"/>
    </row>
    <row r="135" spans="1:5">
      <c r="A135" s="269"/>
      <c r="E135" s="155"/>
    </row>
    <row r="136" spans="1:5">
      <c r="C136" s="155"/>
    </row>
    <row r="137" spans="1:5">
      <c r="A137" s="269"/>
      <c r="E137" s="155"/>
    </row>
    <row r="138" spans="1:5">
      <c r="C138" s="155"/>
    </row>
    <row r="139" spans="1:5">
      <c r="A139" s="269"/>
      <c r="E139" s="155"/>
    </row>
    <row r="140" spans="1:5">
      <c r="C140" s="155"/>
    </row>
    <row r="141" spans="1:5">
      <c r="A141" s="269"/>
      <c r="E141" s="155"/>
    </row>
    <row r="142" spans="1:5">
      <c r="C142" s="155"/>
    </row>
    <row r="143" spans="1:5">
      <c r="A143" s="269"/>
      <c r="E143" s="155"/>
    </row>
    <row r="144" spans="1:5">
      <c r="C144" s="155"/>
    </row>
    <row r="145" spans="1:5">
      <c r="A145" s="269"/>
      <c r="E145" s="155"/>
    </row>
    <row r="146" spans="1:5">
      <c r="C146" s="155"/>
    </row>
    <row r="147" spans="1:5">
      <c r="A147" s="269"/>
      <c r="E147" s="155"/>
    </row>
    <row r="148" spans="1:5">
      <c r="C148" s="155"/>
    </row>
    <row r="149" spans="1:5">
      <c r="A149" s="269"/>
      <c r="E149" s="155"/>
    </row>
    <row r="150" spans="1:5">
      <c r="C150" s="155"/>
    </row>
    <row r="151" spans="1:5">
      <c r="A151" s="269"/>
      <c r="E151" s="155"/>
    </row>
    <row r="152" spans="1:5">
      <c r="C152" s="155"/>
    </row>
    <row r="153" spans="1:5">
      <c r="A153" s="269"/>
      <c r="E153" s="155"/>
    </row>
    <row r="154" spans="1:5">
      <c r="C154" s="155"/>
    </row>
    <row r="155" spans="1:5">
      <c r="A155" s="269"/>
      <c r="E155" s="155"/>
    </row>
    <row r="156" spans="1:5">
      <c r="C156" s="155"/>
    </row>
    <row r="157" spans="1:5">
      <c r="A157" s="269"/>
      <c r="E157" s="155"/>
    </row>
    <row r="158" spans="1:5">
      <c r="C158" s="155"/>
    </row>
    <row r="159" spans="1:5">
      <c r="A159" s="269"/>
      <c r="E159" s="155"/>
    </row>
    <row r="160" spans="1:5">
      <c r="C160" s="155"/>
    </row>
    <row r="161" spans="1:5">
      <c r="A161" s="269"/>
      <c r="E161" s="155"/>
    </row>
    <row r="162" spans="1:5">
      <c r="C162" s="155"/>
    </row>
    <row r="163" spans="1:5">
      <c r="A163" s="269"/>
      <c r="E163" s="155"/>
    </row>
    <row r="164" spans="1:5">
      <c r="C164" s="155"/>
    </row>
    <row r="165" spans="1:5">
      <c r="A165" s="269"/>
      <c r="E165" s="155"/>
    </row>
    <row r="166" spans="1:5">
      <c r="C166" s="155"/>
    </row>
    <row r="167" spans="1:5">
      <c r="A167" s="269"/>
      <c r="E167" s="155"/>
    </row>
    <row r="168" spans="1:5">
      <c r="C168" s="155"/>
    </row>
    <row r="169" spans="1:5">
      <c r="A169" s="269"/>
      <c r="E169" s="155"/>
    </row>
    <row r="170" spans="1:5">
      <c r="C170" s="155"/>
    </row>
    <row r="171" spans="1:5">
      <c r="A171" s="269"/>
      <c r="E171" s="155"/>
    </row>
    <row r="172" spans="1:5">
      <c r="C172" s="155"/>
    </row>
    <row r="173" spans="1:5">
      <c r="A173" s="269"/>
      <c r="E173" s="155"/>
    </row>
    <row r="174" spans="1:5">
      <c r="C174" s="155"/>
    </row>
    <row r="175" spans="1:5">
      <c r="A175" s="269"/>
      <c r="E175" s="155"/>
    </row>
    <row r="176" spans="1:5">
      <c r="C176" s="155"/>
    </row>
    <row r="177" spans="1:5">
      <c r="A177" s="269"/>
      <c r="E177" s="155"/>
    </row>
    <row r="178" spans="1:5">
      <c r="C178" s="155"/>
    </row>
    <row r="179" spans="1:5">
      <c r="A179" s="269"/>
      <c r="E179" s="155"/>
    </row>
    <row r="180" spans="1:5">
      <c r="C180" s="155"/>
    </row>
    <row r="181" spans="1:5">
      <c r="A181" s="269"/>
      <c r="E181" s="155"/>
    </row>
    <row r="182" spans="1:5">
      <c r="C182" s="155"/>
    </row>
    <row r="183" spans="1:5">
      <c r="A183" s="269"/>
      <c r="E183" s="155"/>
    </row>
    <row r="184" spans="1:5">
      <c r="C184" s="155"/>
    </row>
    <row r="185" spans="1:5">
      <c r="A185" s="269"/>
      <c r="E185" s="155"/>
    </row>
    <row r="186" spans="1:5">
      <c r="C186" s="155"/>
    </row>
    <row r="187" spans="1:5">
      <c r="A187" s="269"/>
      <c r="E187" s="155"/>
    </row>
    <row r="188" spans="1:5">
      <c r="C188" s="155"/>
    </row>
    <row r="189" spans="1:5">
      <c r="A189" s="269"/>
      <c r="E189" s="155"/>
    </row>
    <row r="190" spans="1:5">
      <c r="C190" s="155"/>
    </row>
    <row r="191" spans="1:5">
      <c r="A191" s="269"/>
      <c r="E191" s="155"/>
    </row>
    <row r="192" spans="1:5">
      <c r="C192" s="155"/>
    </row>
    <row r="193" spans="1:5">
      <c r="A193" s="269"/>
      <c r="E193" s="155"/>
    </row>
    <row r="194" spans="1:5">
      <c r="C194" s="155"/>
    </row>
    <row r="195" spans="1:5">
      <c r="A195" s="269"/>
      <c r="E195" s="155"/>
    </row>
    <row r="196" spans="1:5">
      <c r="C196" s="155"/>
    </row>
    <row r="197" spans="1:5">
      <c r="A197" s="269"/>
      <c r="E197" s="155"/>
    </row>
    <row r="198" spans="1:5">
      <c r="C198" s="155"/>
    </row>
    <row r="199" spans="1:5">
      <c r="A199" s="269"/>
      <c r="E199" s="155"/>
    </row>
    <row r="200" spans="1:5">
      <c r="C200" s="155"/>
    </row>
    <row r="201" spans="1:5">
      <c r="A201" s="269"/>
      <c r="E201" s="155"/>
    </row>
    <row r="202" spans="1:5">
      <c r="C202" s="155"/>
    </row>
    <row r="203" spans="1:5">
      <c r="A203" s="269"/>
      <c r="E203" s="155"/>
    </row>
    <row r="204" spans="1:5">
      <c r="D204" s="155"/>
    </row>
    <row r="205" spans="1:5">
      <c r="A205" s="269"/>
      <c r="E205" s="155"/>
    </row>
    <row r="206" spans="1:5">
      <c r="C206" s="155"/>
    </row>
    <row r="207" spans="1:5">
      <c r="A207" s="269"/>
      <c r="E207" s="155"/>
    </row>
    <row r="208" spans="1:5">
      <c r="C208" s="155"/>
    </row>
    <row r="209" spans="1:5">
      <c r="A209" s="269"/>
      <c r="E209" s="155"/>
    </row>
    <row r="210" spans="1:5">
      <c r="C210" s="155"/>
    </row>
    <row r="211" spans="1:5">
      <c r="A211" s="269"/>
      <c r="E211" s="155"/>
    </row>
    <row r="212" spans="1:5">
      <c r="C212" s="155"/>
    </row>
    <row r="213" spans="1:5">
      <c r="A213" s="269"/>
      <c r="E213" s="155"/>
    </row>
    <row r="214" spans="1:5">
      <c r="C214" s="155"/>
    </row>
    <row r="215" spans="1:5">
      <c r="A215" s="269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8CA02-AA55-45B9-A5EB-A4A44D8D0298}">
  <dimension ref="A6:R212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22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</row>
    <row r="12" spans="1:12" ht="19" thickBot="1">
      <c r="A12" s="1"/>
      <c r="B12" s="331" t="s">
        <v>2</v>
      </c>
      <c r="C12" s="332"/>
      <c r="D12" s="332"/>
      <c r="E12" s="333"/>
      <c r="F12" s="295"/>
      <c r="G12" s="296"/>
      <c r="H12" s="1"/>
      <c r="I12" s="1"/>
      <c r="J12" s="76"/>
      <c r="K12" s="1"/>
    </row>
    <row r="13" spans="1:12" ht="18" thickBot="1">
      <c r="A13" s="1"/>
      <c r="B13" s="1"/>
      <c r="C13" s="1"/>
      <c r="D13" s="1"/>
      <c r="E13" s="1"/>
      <c r="F13" s="215"/>
      <c r="G13" s="11"/>
      <c r="H13" s="11"/>
      <c r="I13" s="11"/>
      <c r="J13" s="15"/>
      <c r="K13" s="16"/>
    </row>
    <row r="14" spans="1:12" ht="18" thickBot="1">
      <c r="A14" s="11"/>
      <c r="B14" s="334" t="s">
        <v>3</v>
      </c>
      <c r="C14" s="335"/>
      <c r="D14" s="336"/>
      <c r="E14" s="17">
        <f>SUM(E15:E17)</f>
        <v>171518.16999999998</v>
      </c>
      <c r="F14" s="264"/>
      <c r="G14" s="331" t="s">
        <v>4</v>
      </c>
      <c r="H14" s="332"/>
      <c r="I14" s="332"/>
      <c r="J14" s="332"/>
      <c r="K14" s="333"/>
      <c r="L14" s="13"/>
    </row>
    <row r="15" spans="1:12">
      <c r="A15" s="1"/>
      <c r="B15" s="337" t="s">
        <v>5</v>
      </c>
      <c r="C15" s="338"/>
      <c r="D15" s="339"/>
      <c r="E15" s="20">
        <f>J16+J17+J18+J19</f>
        <v>103519.47</v>
      </c>
      <c r="F15" s="153"/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31394.400000000001</v>
      </c>
      <c r="F16" s="153"/>
      <c r="G16" s="22">
        <v>11202.34</v>
      </c>
      <c r="H16" s="23" t="s">
        <v>8</v>
      </c>
      <c r="I16" s="24"/>
      <c r="J16" s="25">
        <v>12947.46</v>
      </c>
      <c r="K16" s="26" t="s">
        <v>9</v>
      </c>
      <c r="L16" s="19"/>
    </row>
    <row r="17" spans="1:18">
      <c r="A17" s="1"/>
      <c r="B17" s="352" t="s">
        <v>6</v>
      </c>
      <c r="C17" s="353"/>
      <c r="D17" s="354"/>
      <c r="E17" s="28">
        <f>G16+G17+G18</f>
        <v>36604.300000000003</v>
      </c>
      <c r="F17" s="153">
        <f>E15+E16+E17</f>
        <v>171518.16999999998</v>
      </c>
      <c r="G17" s="22">
        <v>11230.11</v>
      </c>
      <c r="H17" s="29" t="s">
        <v>10</v>
      </c>
      <c r="I17" s="30"/>
      <c r="J17" s="25">
        <v>56855.3</v>
      </c>
      <c r="K17" s="31" t="s">
        <v>10</v>
      </c>
      <c r="L17" s="13"/>
    </row>
    <row r="18" spans="1:18">
      <c r="A18" s="1"/>
      <c r="B18" s="236" t="s">
        <v>187</v>
      </c>
      <c r="C18" s="237"/>
      <c r="D18" s="238"/>
      <c r="E18" s="28">
        <f>+J22</f>
        <v>23147.18</v>
      </c>
      <c r="F18" s="153">
        <v>90000</v>
      </c>
      <c r="G18" s="22">
        <v>14171.85</v>
      </c>
      <c r="H18" s="29" t="s">
        <v>12</v>
      </c>
      <c r="I18" s="30"/>
      <c r="J18" s="25">
        <v>12925.86</v>
      </c>
      <c r="K18" s="31" t="s">
        <v>12</v>
      </c>
      <c r="L18" s="13"/>
      <c r="N18" s="3"/>
    </row>
    <row r="19" spans="1:18">
      <c r="B19" s="379" t="s">
        <v>11</v>
      </c>
      <c r="C19" s="380"/>
      <c r="D19" s="381"/>
      <c r="E19" s="20">
        <f>G29+G31+G30+G28</f>
        <v>15074.84</v>
      </c>
      <c r="F19" s="153">
        <f>+F17-F18</f>
        <v>81518.169999999984</v>
      </c>
      <c r="G19" s="33"/>
      <c r="H19" s="34"/>
      <c r="I19" s="30"/>
      <c r="J19" s="25">
        <v>20790.849999999999</v>
      </c>
      <c r="K19" s="31" t="s">
        <v>14</v>
      </c>
      <c r="N19" s="3"/>
    </row>
    <row r="20" spans="1:18">
      <c r="B20" s="344" t="s">
        <v>13</v>
      </c>
      <c r="C20" s="345"/>
      <c r="D20" s="346"/>
      <c r="E20" s="20">
        <v>19500318.02</v>
      </c>
      <c r="F20" s="153"/>
      <c r="G20" s="239"/>
      <c r="H20" s="240"/>
      <c r="I20" s="30"/>
      <c r="J20" s="25"/>
      <c r="K20" s="31"/>
      <c r="L20" s="152"/>
      <c r="N20" s="3"/>
    </row>
    <row r="21" spans="1:18">
      <c r="B21" s="187" t="s">
        <v>15</v>
      </c>
      <c r="C21" s="188"/>
      <c r="D21" s="189"/>
      <c r="E21" s="190">
        <f>SUM(E22:E25)</f>
        <v>48255.65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  <c r="N21" s="268"/>
    </row>
    <row r="22" spans="1:18">
      <c r="B22" s="384" t="s">
        <v>390</v>
      </c>
      <c r="C22" s="385"/>
      <c r="D22" s="386"/>
      <c r="E22" s="190">
        <v>28480.04</v>
      </c>
      <c r="F22" s="153"/>
      <c r="G22" s="44">
        <v>19980.240000000002</v>
      </c>
      <c r="H22" s="29" t="s">
        <v>10</v>
      </c>
      <c r="I22" s="30"/>
      <c r="J22" s="25">
        <v>23147.18</v>
      </c>
      <c r="K22" s="31" t="s">
        <v>188</v>
      </c>
      <c r="L22" s="294"/>
      <c r="M22" s="294"/>
    </row>
    <row r="23" spans="1:18">
      <c r="B23" s="387" t="s">
        <v>390</v>
      </c>
      <c r="C23" s="388"/>
      <c r="D23" s="389"/>
      <c r="E23" s="190">
        <v>19775.61</v>
      </c>
      <c r="F23" s="153"/>
      <c r="G23" s="44">
        <v>11414.16</v>
      </c>
      <c r="H23" s="29" t="s">
        <v>18</v>
      </c>
      <c r="I23" s="30"/>
      <c r="J23" s="25"/>
      <c r="K23" s="31"/>
      <c r="L23" s="294"/>
      <c r="M23" s="294"/>
    </row>
    <row r="24" spans="1:18" ht="15" thickBot="1">
      <c r="B24" s="187"/>
      <c r="C24" s="188"/>
      <c r="D24" s="198"/>
      <c r="E24" s="190">
        <v>0</v>
      </c>
      <c r="F24" s="153"/>
      <c r="G24" s="51"/>
      <c r="H24" s="34"/>
      <c r="I24" s="30"/>
      <c r="J24" s="210"/>
      <c r="K24" s="53"/>
      <c r="L24" s="294"/>
      <c r="M24" s="294"/>
      <c r="O24" s="235"/>
    </row>
    <row r="25" spans="1:18" ht="15" thickBot="1">
      <c r="B25" s="187"/>
      <c r="C25" s="188"/>
      <c r="D25" s="198"/>
      <c r="E25" s="190">
        <v>0</v>
      </c>
      <c r="F25" s="153"/>
      <c r="G25" s="331" t="s">
        <v>21</v>
      </c>
      <c r="H25" s="332"/>
      <c r="I25" s="332"/>
      <c r="J25" s="332"/>
      <c r="K25" s="333"/>
    </row>
    <row r="26" spans="1:18">
      <c r="B26" s="202" t="s">
        <v>17</v>
      </c>
      <c r="C26" s="203"/>
      <c r="D26" s="204"/>
      <c r="E26" s="234">
        <v>126411.14</v>
      </c>
      <c r="F26" s="220"/>
      <c r="G26" s="54"/>
      <c r="H26" s="55"/>
      <c r="I26" s="56"/>
      <c r="J26" s="211"/>
      <c r="K26" s="58"/>
      <c r="N26" s="290"/>
    </row>
    <row r="27" spans="1:18">
      <c r="B27" s="202" t="s">
        <v>163</v>
      </c>
      <c r="C27" s="203"/>
      <c r="D27" s="204"/>
      <c r="E27" s="234">
        <v>0</v>
      </c>
      <c r="F27" s="153">
        <f>+F19-E26</f>
        <v>-44892.970000000016</v>
      </c>
      <c r="G27" s="377" t="s">
        <v>5</v>
      </c>
      <c r="H27" s="378"/>
      <c r="I27" s="59"/>
      <c r="J27" s="60"/>
      <c r="K27" s="45"/>
      <c r="N27" s="290"/>
      <c r="Q27" s="155"/>
      <c r="R27" s="155"/>
    </row>
    <row r="28" spans="1:18">
      <c r="B28" s="199" t="s">
        <v>22</v>
      </c>
      <c r="C28" s="200"/>
      <c r="D28" s="201"/>
      <c r="E28" s="234">
        <v>0</v>
      </c>
      <c r="F28" s="288">
        <f>SUM(E26:E32)</f>
        <v>711970.49</v>
      </c>
      <c r="G28" s="22">
        <v>4180.72</v>
      </c>
      <c r="H28" s="62" t="s">
        <v>9</v>
      </c>
      <c r="I28" s="59"/>
      <c r="J28" s="60"/>
      <c r="K28" s="45"/>
      <c r="N28" s="290"/>
      <c r="P28" s="155"/>
      <c r="R28" s="155"/>
    </row>
    <row r="29" spans="1:18">
      <c r="B29" s="199" t="s">
        <v>80</v>
      </c>
      <c r="C29" s="200"/>
      <c r="D29" s="201"/>
      <c r="E29" s="234">
        <v>525559.35</v>
      </c>
      <c r="F29" s="153">
        <f>+F27-F28</f>
        <v>-756863.46</v>
      </c>
      <c r="G29" s="22">
        <v>1707.93</v>
      </c>
      <c r="H29" s="62" t="s">
        <v>26</v>
      </c>
      <c r="I29" s="63"/>
      <c r="J29" s="64" t="s">
        <v>27</v>
      </c>
      <c r="K29" s="65" t="s">
        <v>28</v>
      </c>
      <c r="M29" s="291"/>
      <c r="N29" s="292"/>
    </row>
    <row r="30" spans="1:18">
      <c r="B30" s="199" t="s">
        <v>24</v>
      </c>
      <c r="C30" s="200"/>
      <c r="D30" s="201"/>
      <c r="E30" s="49">
        <v>0</v>
      </c>
      <c r="F30" s="221"/>
      <c r="G30" s="67">
        <v>1908.62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1:18" ht="15" thickBot="1">
      <c r="B31" s="344" t="s">
        <v>69</v>
      </c>
      <c r="C31" s="345"/>
      <c r="D31" s="346"/>
      <c r="E31" s="234">
        <v>60000</v>
      </c>
      <c r="F31" s="220"/>
      <c r="G31" s="71">
        <v>7277.57</v>
      </c>
      <c r="H31" s="72" t="s">
        <v>12</v>
      </c>
      <c r="I31" s="73"/>
      <c r="J31" s="74" t="s">
        <v>32</v>
      </c>
      <c r="K31" s="75" t="s">
        <v>33</v>
      </c>
    </row>
    <row r="32" spans="1:18" ht="15" thickBot="1">
      <c r="B32" s="363" t="s">
        <v>29</v>
      </c>
      <c r="C32" s="364"/>
      <c r="D32" s="365"/>
      <c r="E32" s="66">
        <v>0</v>
      </c>
      <c r="F32" s="220"/>
      <c r="N32" s="269"/>
      <c r="P32" s="155"/>
      <c r="R32" s="155"/>
    </row>
    <row r="33" spans="2:18">
      <c r="E33" s="61"/>
      <c r="F33" s="220"/>
    </row>
    <row r="34" spans="2:18">
      <c r="E34" s="61"/>
      <c r="F34" s="220"/>
      <c r="H34" s="61"/>
      <c r="I34" s="61"/>
      <c r="J34" s="39"/>
      <c r="K34" s="61"/>
      <c r="N34" s="269"/>
      <c r="P34" s="155"/>
      <c r="R34" s="155"/>
    </row>
    <row r="35" spans="2:18">
      <c r="E35" s="61"/>
      <c r="F35" s="220"/>
      <c r="G35" s="8"/>
      <c r="H35" s="61"/>
      <c r="I35" s="61"/>
      <c r="J35" s="39"/>
      <c r="K35" s="61"/>
    </row>
    <row r="36" spans="2:18">
      <c r="E36" s="8"/>
      <c r="F36" s="220"/>
      <c r="G36" s="8"/>
      <c r="H36" s="13"/>
      <c r="I36" s="61"/>
      <c r="J36" s="13"/>
      <c r="K36" s="83"/>
      <c r="L36" s="61"/>
      <c r="M36" s="61"/>
      <c r="N36" s="269"/>
      <c r="P36" s="155"/>
      <c r="R36" s="155"/>
    </row>
    <row r="37" spans="2:18">
      <c r="B37" s="61"/>
      <c r="C37" s="61"/>
      <c r="D37" s="61"/>
      <c r="E37" s="110" t="s">
        <v>391</v>
      </c>
      <c r="F37" s="299"/>
      <c r="G37" s="181"/>
      <c r="H37" s="161"/>
      <c r="I37" s="197"/>
      <c r="J37" s="13"/>
      <c r="K37" s="83"/>
      <c r="L37" s="61"/>
      <c r="M37" s="61"/>
    </row>
    <row r="38" spans="2:18" s="61" customFormat="1" ht="15" customHeight="1">
      <c r="E38" s="110"/>
      <c r="F38" s="299"/>
      <c r="G38" s="86"/>
      <c r="H38" s="161"/>
      <c r="I38" s="197"/>
      <c r="J38" s="13"/>
      <c r="K38" s="83"/>
      <c r="L38" s="88"/>
      <c r="N38" s="272"/>
      <c r="P38" s="273"/>
      <c r="R38" s="273"/>
    </row>
    <row r="39" spans="2:18" s="61" customFormat="1" ht="15" customHeight="1">
      <c r="E39" s="82" t="s">
        <v>34</v>
      </c>
      <c r="F39" s="299">
        <f>F19</f>
        <v>81518.169999999984</v>
      </c>
      <c r="G39" s="86"/>
      <c r="I39" s="197"/>
      <c r="J39" s="13"/>
      <c r="K39" s="85"/>
      <c r="L39" s="161"/>
      <c r="M39" s="197"/>
    </row>
    <row r="40" spans="2:18" s="61" customFormat="1" ht="15" customHeight="1">
      <c r="E40" s="82" t="s">
        <v>35</v>
      </c>
      <c r="F40" s="299">
        <f>+E19</f>
        <v>15074.84</v>
      </c>
      <c r="G40" s="86"/>
      <c r="I40" s="214"/>
      <c r="J40" s="13"/>
      <c r="K40" s="87"/>
      <c r="L40" s="161"/>
      <c r="M40" s="197"/>
      <c r="N40" s="272"/>
      <c r="P40" s="273"/>
      <c r="R40" s="273"/>
    </row>
    <row r="41" spans="2:18" s="61" customFormat="1" ht="15" customHeight="1">
      <c r="E41" s="82" t="s">
        <v>36</v>
      </c>
      <c r="F41" s="299">
        <v>0</v>
      </c>
      <c r="G41" s="9"/>
      <c r="I41" s="197"/>
      <c r="J41" s="13"/>
      <c r="M41" s="197"/>
    </row>
    <row r="42" spans="2:18" s="61" customFormat="1" ht="15" customHeight="1">
      <c r="E42" s="82" t="s">
        <v>37</v>
      </c>
      <c r="F42" s="299">
        <v>0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112" t="s">
        <v>38</v>
      </c>
      <c r="F43" s="225">
        <f>SUM(F39:F42)</f>
        <v>96593.00999999998</v>
      </c>
      <c r="G43" s="9"/>
      <c r="H43" s="163"/>
      <c r="I43" s="229"/>
      <c r="J43" s="13"/>
      <c r="M43" s="197"/>
    </row>
    <row r="44" spans="2:18" s="61" customFormat="1" ht="15" customHeight="1">
      <c r="E44" s="113"/>
      <c r="F44" s="226"/>
      <c r="G44" s="9"/>
      <c r="H44" s="165"/>
      <c r="I44" s="230"/>
      <c r="J44" s="13"/>
      <c r="M44" s="197"/>
      <c r="N44" s="272"/>
      <c r="P44" s="273"/>
      <c r="R44" s="273"/>
    </row>
    <row r="45" spans="2:18" s="61" customFormat="1" ht="15" customHeight="1">
      <c r="E45" s="113" t="s">
        <v>152</v>
      </c>
      <c r="F45" s="226">
        <v>235000</v>
      </c>
      <c r="G45" s="9"/>
      <c r="H45" s="165"/>
      <c r="I45" s="230"/>
      <c r="J45" s="13"/>
      <c r="M45" s="197"/>
      <c r="N45" s="272"/>
      <c r="P45" s="273"/>
      <c r="R45" s="273"/>
    </row>
    <row r="46" spans="2:18" s="61" customFormat="1" ht="15" customHeight="1">
      <c r="E46" s="113" t="s">
        <v>80</v>
      </c>
      <c r="F46" s="226">
        <v>525559.35</v>
      </c>
      <c r="G46" s="9"/>
      <c r="H46" s="165"/>
      <c r="I46" s="230"/>
      <c r="J46" s="13"/>
      <c r="M46" s="197"/>
      <c r="N46" s="272"/>
      <c r="P46" s="273"/>
      <c r="R46" s="273"/>
    </row>
    <row r="47" spans="2:18" s="61" customFormat="1" ht="15" customHeight="1">
      <c r="E47" s="113" t="s">
        <v>81</v>
      </c>
      <c r="F47" s="226">
        <v>1700000</v>
      </c>
      <c r="G47" s="9"/>
      <c r="H47" s="165"/>
      <c r="I47" s="230"/>
      <c r="J47" s="13"/>
      <c r="M47" s="197"/>
      <c r="N47" s="272"/>
      <c r="P47" s="273"/>
      <c r="R47" s="273"/>
    </row>
    <row r="48" spans="2:18" s="61" customFormat="1" ht="15" customHeight="1">
      <c r="E48" s="116" t="s">
        <v>24</v>
      </c>
      <c r="F48" s="221">
        <f>15000+65000+5000</f>
        <v>85000</v>
      </c>
      <c r="G48" s="8"/>
      <c r="H48" s="91"/>
      <c r="I48" s="231"/>
      <c r="J48" s="13"/>
    </row>
    <row r="49" spans="2:13" s="61" customFormat="1" ht="15" customHeight="1">
      <c r="E49" s="116" t="s">
        <v>22</v>
      </c>
      <c r="F49" s="221">
        <v>50000</v>
      </c>
      <c r="G49" s="8"/>
      <c r="H49" s="96"/>
      <c r="I49" s="231"/>
      <c r="J49" s="262"/>
    </row>
    <row r="50" spans="2:13" s="61" customFormat="1">
      <c r="E50" s="116" t="s">
        <v>40</v>
      </c>
      <c r="F50" s="226">
        <v>250000</v>
      </c>
      <c r="G50" s="82"/>
      <c r="H50" s="83"/>
      <c r="I50" s="228"/>
      <c r="J50" s="13"/>
    </row>
    <row r="51" spans="2:13" s="61" customFormat="1">
      <c r="E51" s="116" t="s">
        <v>69</v>
      </c>
      <c r="F51" s="226">
        <v>60000</v>
      </c>
      <c r="G51" s="82"/>
      <c r="H51" s="83"/>
      <c r="I51" s="228"/>
      <c r="J51" s="13"/>
    </row>
    <row r="52" spans="2:13" s="61" customFormat="1">
      <c r="E52" s="118" t="s">
        <v>41</v>
      </c>
      <c r="F52" s="225">
        <f>SUM(F45:F51)</f>
        <v>2905559.35</v>
      </c>
      <c r="G52" s="82"/>
      <c r="H52" s="83"/>
      <c r="I52" s="233"/>
      <c r="J52" s="13"/>
    </row>
    <row r="53" spans="2:13" s="61" customFormat="1">
      <c r="E53" s="118" t="s">
        <v>42</v>
      </c>
      <c r="F53" s="225">
        <f>F43-F52</f>
        <v>-2808966.3400000003</v>
      </c>
      <c r="G53" s="82"/>
      <c r="H53" s="83"/>
      <c r="I53" s="233"/>
      <c r="J53" s="13"/>
    </row>
    <row r="54" spans="2:13" s="61" customFormat="1">
      <c r="E54" s="82"/>
      <c r="F54" s="80"/>
      <c r="G54" s="82"/>
      <c r="H54" s="83"/>
      <c r="I54" s="233"/>
      <c r="J54" s="13"/>
      <c r="L54" s="91"/>
      <c r="M54" s="232"/>
    </row>
    <row r="55" spans="2:13" s="61" customFormat="1">
      <c r="E55" s="82" t="s">
        <v>43</v>
      </c>
      <c r="F55" s="80">
        <v>0</v>
      </c>
      <c r="G55" s="82"/>
      <c r="H55" s="96"/>
      <c r="I55" s="228"/>
      <c r="J55" s="13"/>
      <c r="L55" s="91"/>
      <c r="M55" s="232"/>
    </row>
    <row r="56" spans="2:13" s="61" customFormat="1">
      <c r="E56" s="82" t="s">
        <v>44</v>
      </c>
      <c r="F56" s="80">
        <v>40000</v>
      </c>
      <c r="G56" s="82"/>
      <c r="H56" s="96"/>
      <c r="I56" s="228"/>
      <c r="J56" s="13"/>
      <c r="L56" s="91"/>
      <c r="M56" s="232"/>
    </row>
    <row r="57" spans="2:13" s="61" customFormat="1">
      <c r="E57" s="82" t="s">
        <v>386</v>
      </c>
      <c r="F57" s="80">
        <v>3866.8</v>
      </c>
      <c r="G57" s="82"/>
      <c r="H57" s="83"/>
      <c r="I57" s="233"/>
      <c r="J57" s="13"/>
      <c r="L57" s="96"/>
      <c r="M57" s="231"/>
    </row>
    <row r="58" spans="2:13" s="61" customFormat="1">
      <c r="E58" s="82" t="s">
        <v>45</v>
      </c>
      <c r="F58" s="117">
        <v>993098.58</v>
      </c>
      <c r="G58" s="8"/>
      <c r="H58" s="96"/>
      <c r="I58" s="219"/>
      <c r="J58" s="13"/>
      <c r="L58" s="96"/>
      <c r="M58" s="233"/>
    </row>
    <row r="59" spans="2:13" s="61" customFormat="1">
      <c r="E59" s="82" t="s">
        <v>205</v>
      </c>
      <c r="F59" s="117">
        <v>496232</v>
      </c>
      <c r="G59" s="8"/>
      <c r="J59" s="13"/>
    </row>
    <row r="60" spans="2:13" s="61" customFormat="1">
      <c r="B60"/>
      <c r="C60"/>
      <c r="D60"/>
      <c r="E60" s="82" t="s">
        <v>206</v>
      </c>
      <c r="F60" s="117">
        <v>1100000</v>
      </c>
      <c r="G60" s="8"/>
      <c r="J60" s="13"/>
      <c r="L60" s="83"/>
      <c r="M60" s="228"/>
    </row>
    <row r="61" spans="2:13">
      <c r="E61" s="118" t="s">
        <v>46</v>
      </c>
      <c r="F61" s="120">
        <f>SUM(F55:F60)</f>
        <v>2633197.38</v>
      </c>
      <c r="G61" s="8"/>
      <c r="L61" s="61"/>
      <c r="M61" s="61"/>
    </row>
    <row r="62" spans="2:13">
      <c r="E62" s="82"/>
      <c r="F62" s="80"/>
      <c r="G62" s="8"/>
      <c r="L62" s="61"/>
      <c r="M62" s="61"/>
    </row>
    <row r="63" spans="2:13">
      <c r="E63" s="118" t="s">
        <v>47</v>
      </c>
      <c r="F63" s="120">
        <f>F53-F61</f>
        <v>-5442163.7200000007</v>
      </c>
      <c r="G63" s="8"/>
    </row>
    <row r="64" spans="2:13">
      <c r="D64" s="247" t="s">
        <v>192</v>
      </c>
      <c r="E64" s="8"/>
      <c r="F64" s="220"/>
      <c r="G64" s="8"/>
    </row>
    <row r="65" spans="1:7">
      <c r="D65" s="247" t="s">
        <v>194</v>
      </c>
      <c r="E65" s="61"/>
      <c r="F65" s="219"/>
      <c r="G65" s="8"/>
    </row>
    <row r="66" spans="1:7">
      <c r="D66" s="8" t="s">
        <v>9</v>
      </c>
      <c r="E66" s="61"/>
      <c r="F66" s="219"/>
      <c r="G66" s="124">
        <f>SUM(E74:F74)</f>
        <v>0</v>
      </c>
    </row>
    <row r="67" spans="1:7">
      <c r="D67" s="8" t="s">
        <v>195</v>
      </c>
      <c r="E67" s="61"/>
      <c r="F67" s="219"/>
      <c r="G67" s="8"/>
    </row>
    <row r="68" spans="1:7">
      <c r="D68" s="8" t="s">
        <v>188</v>
      </c>
      <c r="E68" s="243"/>
      <c r="F68" s="243"/>
      <c r="G68" s="8"/>
    </row>
    <row r="69" spans="1:7">
      <c r="D69" s="8"/>
      <c r="E69" s="243"/>
      <c r="F69" s="244"/>
    </row>
    <row r="70" spans="1:7">
      <c r="E70" s="245"/>
      <c r="F70" s="246"/>
    </row>
    <row r="71" spans="1:7">
      <c r="E71" s="245"/>
      <c r="F71" s="246"/>
    </row>
    <row r="72" spans="1:7">
      <c r="E72" s="249"/>
      <c r="F72" s="287"/>
    </row>
    <row r="73" spans="1:7">
      <c r="E73" s="124"/>
      <c r="F73" s="287"/>
    </row>
    <row r="74" spans="1:7">
      <c r="E74" s="8"/>
    </row>
    <row r="75" spans="1:7">
      <c r="E75" s="8"/>
    </row>
    <row r="76" spans="1:7">
      <c r="A76" s="268"/>
      <c r="E76" s="8"/>
    </row>
    <row r="77" spans="1:7">
      <c r="E77" s="8"/>
    </row>
    <row r="78" spans="1:7">
      <c r="B78" s="235"/>
      <c r="E78" s="8"/>
    </row>
    <row r="79" spans="1:7">
      <c r="E79" s="8"/>
    </row>
    <row r="80" spans="1:7">
      <c r="E80" s="293"/>
    </row>
    <row r="81" spans="1:5">
      <c r="C81" s="155"/>
      <c r="E81" s="8"/>
    </row>
    <row r="82" spans="1:5">
      <c r="A82" s="269"/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93"/>
    </row>
    <row r="111" spans="1:5">
      <c r="C111" s="155"/>
      <c r="E111" s="8"/>
    </row>
    <row r="112" spans="1:5">
      <c r="A112" s="269"/>
      <c r="E112" s="277"/>
    </row>
    <row r="113" spans="1:5">
      <c r="C113" s="155"/>
      <c r="E113" s="79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  <c r="E123" s="79"/>
    </row>
    <row r="124" spans="1:5">
      <c r="A124" s="269"/>
      <c r="E124" s="277"/>
    </row>
    <row r="125" spans="1:5">
      <c r="C125" s="155"/>
    </row>
    <row r="126" spans="1:5">
      <c r="A126" s="269"/>
      <c r="E126" s="155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C199" s="155"/>
    </row>
    <row r="200" spans="1:5">
      <c r="A200" s="269"/>
      <c r="E200" s="155"/>
    </row>
    <row r="201" spans="1:5">
      <c r="D201" s="155"/>
    </row>
    <row r="202" spans="1:5">
      <c r="A202" s="269"/>
      <c r="E202" s="155"/>
    </row>
    <row r="203" spans="1:5">
      <c r="C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5">
      <c r="C209" s="155"/>
    </row>
    <row r="210" spans="1:5">
      <c r="A210" s="269"/>
      <c r="E210" s="155"/>
    </row>
    <row r="211" spans="1:5">
      <c r="C211" s="155"/>
    </row>
    <row r="212" spans="1:5">
      <c r="A212" s="269"/>
    </row>
  </sheetData>
  <mergeCells count="18">
    <mergeCell ref="G27:H27"/>
    <mergeCell ref="B31:D31"/>
    <mergeCell ref="B32:D32"/>
    <mergeCell ref="B22:D22"/>
    <mergeCell ref="B23:D23"/>
    <mergeCell ref="G25:K25"/>
    <mergeCell ref="B16:D16"/>
    <mergeCell ref="B17:D17"/>
    <mergeCell ref="B19:D19"/>
    <mergeCell ref="B20:D20"/>
    <mergeCell ref="G21:H21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7671F-C0F5-4A72-9970-D1AC1660CF75}">
  <dimension ref="A6:R212"/>
  <sheetViews>
    <sheetView showGridLines="0" topLeftCell="A17" workbookViewId="0">
      <selection activeCell="A17" sqref="A1:XFD1048576"/>
    </sheetView>
  </sheetViews>
  <sheetFormatPr baseColWidth="10" defaultRowHeight="14.5"/>
  <cols>
    <col min="2" max="2" width="32" customWidth="1"/>
    <col min="4" max="4" width="22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</row>
    <row r="12" spans="1:12" ht="19" thickBot="1">
      <c r="A12" s="1"/>
      <c r="B12" s="331" t="s">
        <v>2</v>
      </c>
      <c r="C12" s="332"/>
      <c r="D12" s="332"/>
      <c r="E12" s="333"/>
      <c r="F12" s="295"/>
      <c r="G12" s="296"/>
      <c r="H12" s="1"/>
      <c r="I12" s="1"/>
      <c r="J12" s="76"/>
      <c r="K12" s="1"/>
    </row>
    <row r="13" spans="1:12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</row>
    <row r="14" spans="1:12" ht="18" thickBot="1">
      <c r="A14" s="11"/>
      <c r="B14" s="334" t="s">
        <v>3</v>
      </c>
      <c r="C14" s="335"/>
      <c r="D14" s="336"/>
      <c r="E14" s="17">
        <f>SUM(E15:E17)</f>
        <v>4274574.2699999996</v>
      </c>
      <c r="F14" s="217"/>
      <c r="G14" s="331" t="s">
        <v>4</v>
      </c>
      <c r="H14" s="332"/>
      <c r="I14" s="332"/>
      <c r="J14" s="332"/>
      <c r="K14" s="333"/>
      <c r="L14" s="13"/>
    </row>
    <row r="15" spans="1:12">
      <c r="A15" s="1"/>
      <c r="B15" s="337" t="s">
        <v>5</v>
      </c>
      <c r="C15" s="338"/>
      <c r="D15" s="339"/>
      <c r="E15" s="20">
        <f>J16+J17+J18+J19</f>
        <v>4177415.34</v>
      </c>
      <c r="F15" s="150"/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29331.420000000002</v>
      </c>
      <c r="F16" s="150"/>
      <c r="G16" s="22">
        <v>11202.34</v>
      </c>
      <c r="H16" s="23" t="s">
        <v>8</v>
      </c>
      <c r="I16" s="24"/>
      <c r="J16" s="25">
        <v>14328</v>
      </c>
      <c r="K16" s="26" t="s">
        <v>9</v>
      </c>
      <c r="L16" s="19"/>
    </row>
    <row r="17" spans="1:18">
      <c r="A17" s="1"/>
      <c r="B17" s="352" t="s">
        <v>6</v>
      </c>
      <c r="C17" s="353"/>
      <c r="D17" s="354"/>
      <c r="E17" s="28">
        <f>G16+G17+G18</f>
        <v>67827.509999999995</v>
      </c>
      <c r="F17" s="150">
        <f>E15+E16+E17</f>
        <v>4274574.2699999996</v>
      </c>
      <c r="G17" s="22">
        <v>41373.47</v>
      </c>
      <c r="H17" s="29" t="s">
        <v>10</v>
      </c>
      <c r="I17" s="30"/>
      <c r="J17" s="25">
        <v>12256.29</v>
      </c>
      <c r="K17" s="31" t="s">
        <v>10</v>
      </c>
      <c r="L17" s="13"/>
    </row>
    <row r="18" spans="1:18">
      <c r="A18" s="1"/>
      <c r="B18" s="236" t="s">
        <v>187</v>
      </c>
      <c r="C18" s="237"/>
      <c r="D18" s="238"/>
      <c r="E18" s="28" t="str">
        <f>+J22</f>
        <v>18,089.18 </v>
      </c>
      <c r="F18" s="150">
        <v>180000</v>
      </c>
      <c r="G18" s="22">
        <v>15251.7</v>
      </c>
      <c r="H18" s="29" t="s">
        <v>12</v>
      </c>
      <c r="I18" s="30"/>
      <c r="J18" s="25">
        <v>4074126.48</v>
      </c>
      <c r="K18" s="31" t="s">
        <v>12</v>
      </c>
      <c r="L18" s="13"/>
      <c r="N18" s="3"/>
    </row>
    <row r="19" spans="1:18">
      <c r="B19" s="379" t="s">
        <v>11</v>
      </c>
      <c r="C19" s="380"/>
      <c r="D19" s="381"/>
      <c r="E19" s="20">
        <f>G29+G31+G30+G28</f>
        <v>15079.79</v>
      </c>
      <c r="F19" s="150">
        <f>+F17-F18</f>
        <v>4094574.2699999996</v>
      </c>
      <c r="G19" s="33"/>
      <c r="H19" s="34"/>
      <c r="I19" s="30"/>
      <c r="J19" s="25">
        <v>76704.570000000007</v>
      </c>
      <c r="K19" s="31" t="s">
        <v>14</v>
      </c>
      <c r="N19" s="3"/>
    </row>
    <row r="20" spans="1:18">
      <c r="B20" s="344" t="s">
        <v>13</v>
      </c>
      <c r="C20" s="345"/>
      <c r="D20" s="346"/>
      <c r="E20" s="20">
        <v>15471742.449999999</v>
      </c>
      <c r="F20" s="150"/>
      <c r="G20" s="239"/>
      <c r="H20" s="240"/>
      <c r="I20" s="30"/>
      <c r="J20" s="25"/>
      <c r="K20" s="31"/>
      <c r="L20" s="152"/>
      <c r="N20" s="3"/>
    </row>
    <row r="21" spans="1:18">
      <c r="B21" s="187" t="s">
        <v>15</v>
      </c>
      <c r="C21" s="188"/>
      <c r="D21" s="189"/>
      <c r="E21" s="190">
        <f>SUM(E22:E25)</f>
        <v>4055777.5700000003</v>
      </c>
      <c r="F21" s="150"/>
      <c r="G21" s="361" t="s">
        <v>16</v>
      </c>
      <c r="H21" s="362"/>
      <c r="I21" s="36"/>
      <c r="J21" s="241" t="s">
        <v>187</v>
      </c>
      <c r="K21" s="242"/>
      <c r="L21" s="294"/>
      <c r="M21" s="294"/>
      <c r="N21" s="268"/>
    </row>
    <row r="22" spans="1:18" ht="15" customHeight="1">
      <c r="B22" s="303"/>
      <c r="C22" s="304"/>
      <c r="D22" s="305" t="s">
        <v>90</v>
      </c>
      <c r="E22" s="190">
        <v>3992497.18</v>
      </c>
      <c r="F22" s="150"/>
      <c r="G22" s="44">
        <v>19980.240000000002</v>
      </c>
      <c r="H22" s="29" t="s">
        <v>10</v>
      </c>
      <c r="I22" s="30"/>
      <c r="J22" s="25" t="s">
        <v>393</v>
      </c>
      <c r="K22" s="31" t="s">
        <v>188</v>
      </c>
      <c r="L22" s="294"/>
      <c r="M22" s="294"/>
    </row>
    <row r="23" spans="1:18" ht="15" customHeight="1">
      <c r="B23" s="301"/>
      <c r="C23" s="302"/>
      <c r="D23" s="306" t="s">
        <v>90</v>
      </c>
      <c r="E23" s="190">
        <v>35440.39</v>
      </c>
      <c r="F23" s="150"/>
      <c r="G23" s="44">
        <v>9351.18</v>
      </c>
      <c r="H23" s="29" t="s">
        <v>18</v>
      </c>
      <c r="I23" s="30"/>
      <c r="J23" s="25"/>
      <c r="K23" s="31"/>
      <c r="L23" s="294"/>
      <c r="M23" s="294"/>
    </row>
    <row r="24" spans="1:18" ht="15" thickBot="1">
      <c r="B24" s="187"/>
      <c r="C24" s="188"/>
      <c r="D24" s="198" t="s">
        <v>392</v>
      </c>
      <c r="E24" s="190">
        <v>27840</v>
      </c>
      <c r="F24" s="150"/>
      <c r="G24" s="51"/>
      <c r="H24" s="34"/>
      <c r="I24" s="30"/>
      <c r="J24" s="210"/>
      <c r="K24" s="53"/>
      <c r="L24" s="294"/>
      <c r="M24" s="294"/>
      <c r="O24" s="235"/>
    </row>
    <row r="25" spans="1:18" ht="15" thickBot="1">
      <c r="B25" s="187"/>
      <c r="C25" s="188"/>
      <c r="D25" s="198"/>
      <c r="E25" s="190">
        <v>0</v>
      </c>
      <c r="F25" s="150"/>
      <c r="G25" s="331" t="s">
        <v>21</v>
      </c>
      <c r="H25" s="332"/>
      <c r="I25" s="332"/>
      <c r="J25" s="332"/>
      <c r="K25" s="333"/>
    </row>
    <row r="26" spans="1:18">
      <c r="B26" s="202" t="s">
        <v>17</v>
      </c>
      <c r="C26" s="203"/>
      <c r="D26" s="204"/>
      <c r="E26" s="234">
        <v>0</v>
      </c>
      <c r="F26" s="219"/>
      <c r="G26" s="54"/>
      <c r="H26" s="55"/>
      <c r="I26" s="56"/>
      <c r="J26" s="211"/>
      <c r="K26" s="58"/>
      <c r="N26" s="290"/>
    </row>
    <row r="27" spans="1:18">
      <c r="B27" s="202" t="s">
        <v>163</v>
      </c>
      <c r="C27" s="203"/>
      <c r="D27" s="204"/>
      <c r="E27" s="234">
        <v>0</v>
      </c>
      <c r="F27" s="150">
        <f>+F19-E26</f>
        <v>4094574.2699999996</v>
      </c>
      <c r="G27" s="377" t="s">
        <v>5</v>
      </c>
      <c r="H27" s="378"/>
      <c r="I27" s="59"/>
      <c r="J27" s="60"/>
      <c r="K27" s="45"/>
      <c r="N27" s="290"/>
      <c r="Q27" s="155"/>
      <c r="R27" s="155"/>
    </row>
    <row r="28" spans="1:18">
      <c r="B28" s="199" t="s">
        <v>22</v>
      </c>
      <c r="C28" s="200"/>
      <c r="D28" s="201"/>
      <c r="E28" s="234">
        <v>0</v>
      </c>
      <c r="F28" s="289">
        <f>SUM(E26:E32)</f>
        <v>1596540</v>
      </c>
      <c r="G28" s="22">
        <v>4181.7700000000004</v>
      </c>
      <c r="H28" s="62" t="s">
        <v>9</v>
      </c>
      <c r="I28" s="59"/>
      <c r="J28" s="60"/>
      <c r="K28" s="45"/>
      <c r="N28" s="290"/>
      <c r="P28" s="155"/>
      <c r="R28" s="155"/>
    </row>
    <row r="29" spans="1:18">
      <c r="B29" s="199" t="s">
        <v>80</v>
      </c>
      <c r="C29" s="200"/>
      <c r="D29" s="201"/>
      <c r="E29" s="234">
        <v>0</v>
      </c>
      <c r="F29" s="150">
        <f>+F27-F28</f>
        <v>2498034.2699999996</v>
      </c>
      <c r="G29" s="22">
        <v>1708.57</v>
      </c>
      <c r="H29" s="62" t="s">
        <v>26</v>
      </c>
      <c r="I29" s="63"/>
      <c r="J29" s="64" t="s">
        <v>27</v>
      </c>
      <c r="K29" s="65" t="s">
        <v>28</v>
      </c>
      <c r="M29" s="291"/>
      <c r="N29" s="292"/>
    </row>
    <row r="30" spans="1:18">
      <c r="B30" s="199" t="s">
        <v>24</v>
      </c>
      <c r="C30" s="200"/>
      <c r="D30" s="201"/>
      <c r="E30" s="49">
        <v>0</v>
      </c>
      <c r="F30" s="228"/>
      <c r="G30" s="67">
        <v>1910.02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1:18" ht="15" thickBot="1">
      <c r="B31" s="344" t="s">
        <v>69</v>
      </c>
      <c r="C31" s="345"/>
      <c r="D31" s="346"/>
      <c r="E31" s="234">
        <v>0</v>
      </c>
      <c r="F31" s="219"/>
      <c r="G31" s="71">
        <v>7279.43</v>
      </c>
      <c r="H31" s="72" t="s">
        <v>12</v>
      </c>
      <c r="I31" s="73"/>
      <c r="J31" s="74" t="s">
        <v>32</v>
      </c>
      <c r="K31" s="75" t="s">
        <v>33</v>
      </c>
    </row>
    <row r="32" spans="1:18" ht="15" thickBot="1">
      <c r="B32" s="363" t="s">
        <v>29</v>
      </c>
      <c r="C32" s="364"/>
      <c r="D32" s="365"/>
      <c r="E32" s="66">
        <f>1100000+496540</f>
        <v>1596540</v>
      </c>
      <c r="F32" s="219"/>
      <c r="N32" s="269"/>
      <c r="P32" s="155"/>
      <c r="R32" s="155"/>
    </row>
    <row r="33" spans="2:18">
      <c r="E33" s="61"/>
      <c r="F33" s="219"/>
    </row>
    <row r="34" spans="2:18">
      <c r="E34" s="61"/>
      <c r="F34" s="219"/>
      <c r="H34" s="61"/>
      <c r="I34" s="61"/>
      <c r="J34" s="39"/>
      <c r="K34" s="61"/>
      <c r="N34" s="269"/>
      <c r="P34" s="155"/>
      <c r="R34" s="155"/>
    </row>
    <row r="35" spans="2:18">
      <c r="E35" s="61"/>
      <c r="F35" s="219"/>
      <c r="G35" s="8"/>
      <c r="H35" s="61"/>
      <c r="I35" s="61"/>
      <c r="J35" s="39"/>
      <c r="K35" s="61"/>
    </row>
    <row r="36" spans="2:18">
      <c r="E36" s="61"/>
      <c r="F36" s="219"/>
      <c r="G36" s="8"/>
      <c r="H36" s="13"/>
      <c r="I36" s="61"/>
      <c r="J36" s="13"/>
      <c r="K36" s="83"/>
      <c r="L36" s="61"/>
      <c r="M36" s="61"/>
      <c r="N36" s="269"/>
      <c r="P36" s="155"/>
      <c r="R36" s="155"/>
    </row>
    <row r="37" spans="2:18">
      <c r="B37" s="61"/>
      <c r="C37" s="61"/>
      <c r="D37" s="61"/>
      <c r="E37" s="78" t="s">
        <v>391</v>
      </c>
      <c r="F37" s="297"/>
      <c r="G37" s="181"/>
      <c r="H37" s="161"/>
      <c r="I37" s="197"/>
      <c r="J37" s="13"/>
      <c r="K37" s="83"/>
      <c r="L37" s="61"/>
      <c r="M37" s="61"/>
    </row>
    <row r="38" spans="2:18" s="61" customFormat="1" ht="15" customHeight="1">
      <c r="E38" s="78"/>
      <c r="F38" s="297"/>
      <c r="G38" s="86"/>
      <c r="H38" s="161"/>
      <c r="I38" s="197"/>
      <c r="J38" s="13"/>
      <c r="K38" s="83"/>
      <c r="L38" s="88"/>
      <c r="N38" s="272"/>
      <c r="P38" s="273"/>
      <c r="R38" s="273"/>
    </row>
    <row r="39" spans="2:18" s="61" customFormat="1" ht="15" customHeight="1">
      <c r="E39" s="83" t="s">
        <v>34</v>
      </c>
      <c r="F39" s="297">
        <f>F19</f>
        <v>4094574.2699999996</v>
      </c>
      <c r="G39" s="86"/>
      <c r="I39" s="197"/>
      <c r="J39" s="13"/>
      <c r="K39" s="85"/>
      <c r="L39" s="161"/>
      <c r="M39" s="197"/>
    </row>
    <row r="40" spans="2:18" s="61" customFormat="1" ht="15" customHeight="1">
      <c r="E40" s="83" t="s">
        <v>35</v>
      </c>
      <c r="F40" s="297">
        <f>+E19</f>
        <v>15079.79</v>
      </c>
      <c r="G40" s="86"/>
      <c r="I40" s="214"/>
      <c r="J40" s="13"/>
      <c r="K40" s="87"/>
      <c r="L40" s="161"/>
      <c r="M40" s="197"/>
      <c r="N40" s="272"/>
      <c r="P40" s="273"/>
      <c r="R40" s="273"/>
    </row>
    <row r="41" spans="2:18" s="61" customFormat="1" ht="15" customHeight="1">
      <c r="E41" s="83" t="s">
        <v>36</v>
      </c>
      <c r="F41" s="297">
        <v>0</v>
      </c>
      <c r="G41" s="9"/>
      <c r="I41" s="197"/>
      <c r="J41" s="13"/>
      <c r="M41" s="197"/>
    </row>
    <row r="42" spans="2:18" s="61" customFormat="1" ht="15" customHeight="1">
      <c r="E42" s="83" t="s">
        <v>37</v>
      </c>
      <c r="F42" s="297">
        <v>0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85" t="s">
        <v>38</v>
      </c>
      <c r="F43" s="231">
        <f>SUM(F39:F42)</f>
        <v>4109654.0599999996</v>
      </c>
      <c r="G43" s="9"/>
      <c r="H43" s="163"/>
      <c r="I43" s="229"/>
      <c r="J43" s="13"/>
      <c r="M43" s="197"/>
    </row>
    <row r="44" spans="2:18" s="61" customFormat="1" ht="15" customHeight="1">
      <c r="E44" s="87"/>
      <c r="F44" s="232"/>
      <c r="G44" s="9"/>
      <c r="H44" s="165"/>
      <c r="I44" s="230"/>
      <c r="J44" s="13"/>
      <c r="M44" s="197"/>
      <c r="N44" s="272"/>
      <c r="P44" s="273"/>
      <c r="R44" s="273"/>
    </row>
    <row r="45" spans="2:18" s="61" customFormat="1" ht="15" customHeight="1">
      <c r="E45" s="87" t="s">
        <v>152</v>
      </c>
      <c r="F45" s="232">
        <v>235000</v>
      </c>
      <c r="G45" s="9"/>
      <c r="H45" s="165"/>
      <c r="I45" s="230"/>
      <c r="J45" s="13"/>
      <c r="M45" s="197"/>
      <c r="N45" s="272"/>
      <c r="P45" s="273"/>
      <c r="R45" s="273"/>
    </row>
    <row r="46" spans="2:18" s="61" customFormat="1" ht="15" customHeight="1">
      <c r="E46" s="87" t="s">
        <v>80</v>
      </c>
      <c r="F46" s="232">
        <f>+F60+F59</f>
        <v>2221540</v>
      </c>
      <c r="G46" s="9"/>
      <c r="H46" s="165"/>
      <c r="I46" s="230"/>
      <c r="J46" s="13"/>
      <c r="M46" s="197"/>
      <c r="N46" s="272"/>
      <c r="P46" s="273"/>
      <c r="R46" s="273"/>
    </row>
    <row r="47" spans="2:18" s="61" customFormat="1" ht="15" customHeight="1">
      <c r="E47" s="87" t="s">
        <v>81</v>
      </c>
      <c r="F47" s="232">
        <v>1700000</v>
      </c>
      <c r="G47" s="9"/>
      <c r="H47" s="165"/>
      <c r="I47" s="230"/>
      <c r="J47" s="13"/>
      <c r="M47" s="197"/>
      <c r="N47" s="272"/>
      <c r="P47" s="273"/>
      <c r="R47" s="273"/>
    </row>
    <row r="48" spans="2:18" s="61" customFormat="1" ht="15" customHeight="1">
      <c r="E48" s="91" t="s">
        <v>24</v>
      </c>
      <c r="F48" s="228">
        <f>15000+65000+5000</f>
        <v>85000</v>
      </c>
      <c r="G48" s="8"/>
      <c r="H48" s="91"/>
      <c r="I48" s="231"/>
      <c r="J48" s="13"/>
    </row>
    <row r="49" spans="2:13" s="61" customFormat="1" ht="15" customHeight="1">
      <c r="E49" s="91" t="s">
        <v>22</v>
      </c>
      <c r="F49" s="228">
        <v>50000</v>
      </c>
      <c r="G49" s="8"/>
      <c r="H49" s="96"/>
      <c r="I49" s="231"/>
      <c r="J49" s="262"/>
    </row>
    <row r="50" spans="2:13" s="61" customFormat="1">
      <c r="E50" s="91" t="s">
        <v>40</v>
      </c>
      <c r="F50" s="232">
        <f>250000-90000</f>
        <v>160000</v>
      </c>
      <c r="G50" s="82"/>
      <c r="H50" s="83"/>
      <c r="I50" s="228"/>
      <c r="J50" s="13"/>
    </row>
    <row r="51" spans="2:13" s="61" customFormat="1">
      <c r="E51" s="91" t="s">
        <v>69</v>
      </c>
      <c r="F51" s="232">
        <v>60000</v>
      </c>
      <c r="G51" s="82"/>
      <c r="H51" s="83"/>
      <c r="I51" s="228"/>
      <c r="J51" s="13"/>
    </row>
    <row r="52" spans="2:13" s="61" customFormat="1">
      <c r="E52" s="96" t="s">
        <v>41</v>
      </c>
      <c r="F52" s="231">
        <f>SUM(F45:F51)</f>
        <v>4511540</v>
      </c>
      <c r="G52" s="82"/>
      <c r="H52" s="83"/>
      <c r="I52" s="233"/>
      <c r="J52" s="13"/>
    </row>
    <row r="53" spans="2:13" s="61" customFormat="1">
      <c r="E53" s="96" t="s">
        <v>42</v>
      </c>
      <c r="F53" s="231">
        <f>F43-F52</f>
        <v>-401885.94000000041</v>
      </c>
      <c r="G53" s="82"/>
      <c r="H53" s="83"/>
      <c r="I53" s="233"/>
      <c r="J53" s="13"/>
    </row>
    <row r="54" spans="2:13" s="61" customFormat="1">
      <c r="E54" s="83"/>
      <c r="F54" s="151"/>
      <c r="G54" s="82"/>
      <c r="H54" s="83"/>
      <c r="I54" s="233"/>
      <c r="J54" s="13"/>
      <c r="L54" s="91"/>
      <c r="M54" s="232"/>
    </row>
    <row r="55" spans="2:13" s="61" customFormat="1">
      <c r="E55" s="83" t="s">
        <v>43</v>
      </c>
      <c r="F55" s="151">
        <v>0</v>
      </c>
      <c r="G55" s="82"/>
      <c r="H55" s="96"/>
      <c r="I55" s="228"/>
      <c r="J55" s="13"/>
      <c r="L55" s="91"/>
      <c r="M55" s="232"/>
    </row>
    <row r="56" spans="2:13" s="61" customFormat="1">
      <c r="E56" s="83" t="s">
        <v>44</v>
      </c>
      <c r="F56" s="151">
        <v>40000</v>
      </c>
      <c r="G56" s="82"/>
      <c r="H56" s="96"/>
      <c r="I56" s="228"/>
      <c r="J56" s="13"/>
      <c r="L56" s="91"/>
      <c r="M56" s="232"/>
    </row>
    <row r="57" spans="2:13" s="61" customFormat="1">
      <c r="E57" s="83" t="s">
        <v>386</v>
      </c>
      <c r="F57" s="151">
        <v>3866.8</v>
      </c>
      <c r="G57" s="82"/>
      <c r="H57" s="83"/>
      <c r="I57" s="233"/>
      <c r="J57" s="13"/>
      <c r="L57" s="96"/>
      <c r="M57" s="231"/>
    </row>
    <row r="58" spans="2:13" s="61" customFormat="1">
      <c r="E58" s="83" t="s">
        <v>45</v>
      </c>
      <c r="F58" s="95">
        <v>993098.58</v>
      </c>
      <c r="G58" s="8"/>
      <c r="H58" s="96"/>
      <c r="I58" s="219"/>
      <c r="J58" s="13"/>
      <c r="L58" s="96"/>
      <c r="M58" s="233"/>
    </row>
    <row r="59" spans="2:13" s="61" customFormat="1">
      <c r="E59" s="83" t="s">
        <v>205</v>
      </c>
      <c r="F59" s="95">
        <v>496540</v>
      </c>
      <c r="G59" s="8"/>
      <c r="J59" s="13"/>
    </row>
    <row r="60" spans="2:13" s="61" customFormat="1">
      <c r="B60"/>
      <c r="C60"/>
      <c r="D60"/>
      <c r="E60" s="83" t="s">
        <v>206</v>
      </c>
      <c r="F60" s="95">
        <v>1725000</v>
      </c>
      <c r="G60" s="8"/>
      <c r="J60" s="13"/>
      <c r="L60" s="83"/>
      <c r="M60" s="228"/>
    </row>
    <row r="61" spans="2:13">
      <c r="E61" s="96" t="s">
        <v>46</v>
      </c>
      <c r="F61" s="99">
        <f>SUM(F55:F60)</f>
        <v>3258505.38</v>
      </c>
      <c r="G61" s="8"/>
      <c r="L61" s="61"/>
      <c r="M61" s="61"/>
    </row>
    <row r="62" spans="2:13">
      <c r="E62" s="83"/>
      <c r="F62" s="151"/>
      <c r="G62" s="8"/>
      <c r="L62" s="61"/>
      <c r="M62" s="61"/>
    </row>
    <row r="63" spans="2:13">
      <c r="E63" s="96" t="s">
        <v>47</v>
      </c>
      <c r="F63" s="99">
        <f>F53-F61</f>
        <v>-3660391.3200000003</v>
      </c>
      <c r="G63" s="8"/>
    </row>
    <row r="64" spans="2:13">
      <c r="D64" s="247" t="s">
        <v>192</v>
      </c>
      <c r="E64" s="61"/>
      <c r="F64" s="219"/>
      <c r="G64" s="8"/>
    </row>
    <row r="65" spans="1:7">
      <c r="D65" s="247" t="s">
        <v>194</v>
      </c>
      <c r="E65" s="61"/>
      <c r="F65" s="219"/>
      <c r="G65" s="8"/>
    </row>
    <row r="66" spans="1:7">
      <c r="D66" s="8" t="s">
        <v>9</v>
      </c>
      <c r="E66" s="61"/>
      <c r="F66" s="219"/>
      <c r="G66" s="124">
        <f>SUM(E74:F74)</f>
        <v>0</v>
      </c>
    </row>
    <row r="67" spans="1:7">
      <c r="D67" s="8" t="s">
        <v>195</v>
      </c>
      <c r="E67" s="61"/>
      <c r="F67" s="219"/>
      <c r="G67" s="8"/>
    </row>
    <row r="68" spans="1:7">
      <c r="D68" s="8" t="s">
        <v>188</v>
      </c>
      <c r="E68" s="243"/>
      <c r="F68" s="243"/>
      <c r="G68" s="8"/>
    </row>
    <row r="69" spans="1:7">
      <c r="D69" s="8"/>
      <c r="E69" s="243"/>
      <c r="F69" s="244"/>
    </row>
    <row r="70" spans="1:7">
      <c r="E70" s="245"/>
      <c r="F70" s="246"/>
    </row>
    <row r="71" spans="1:7">
      <c r="E71" s="245"/>
      <c r="F71" s="246"/>
    </row>
    <row r="72" spans="1:7">
      <c r="E72" s="249"/>
      <c r="F72" s="287"/>
    </row>
    <row r="73" spans="1:7">
      <c r="E73" s="124"/>
      <c r="F73" s="287"/>
    </row>
    <row r="74" spans="1:7">
      <c r="E74" s="8"/>
    </row>
    <row r="75" spans="1:7">
      <c r="E75" s="8"/>
    </row>
    <row r="76" spans="1:7">
      <c r="A76" s="268"/>
      <c r="E76" s="8"/>
    </row>
    <row r="77" spans="1:7">
      <c r="E77" s="8"/>
    </row>
    <row r="78" spans="1:7">
      <c r="B78" s="235"/>
      <c r="E78" s="8"/>
    </row>
    <row r="79" spans="1:7">
      <c r="E79" s="8"/>
    </row>
    <row r="80" spans="1:7">
      <c r="E80" s="293"/>
    </row>
    <row r="81" spans="1:5">
      <c r="C81" s="155"/>
      <c r="E81" s="8"/>
    </row>
    <row r="82" spans="1:5">
      <c r="A82" s="269"/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93"/>
    </row>
    <row r="111" spans="1:5">
      <c r="C111" s="155"/>
      <c r="E111" s="8"/>
    </row>
    <row r="112" spans="1:5">
      <c r="A112" s="269"/>
      <c r="E112" s="277"/>
    </row>
    <row r="113" spans="1:5">
      <c r="C113" s="155"/>
      <c r="E113" s="79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  <c r="E123" s="79"/>
    </row>
    <row r="124" spans="1:5">
      <c r="A124" s="269"/>
      <c r="E124" s="277"/>
    </row>
    <row r="125" spans="1:5">
      <c r="C125" s="155"/>
    </row>
    <row r="126" spans="1:5">
      <c r="A126" s="269"/>
      <c r="E126" s="155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C199" s="155"/>
    </row>
    <row r="200" spans="1:5">
      <c r="A200" s="269"/>
      <c r="E200" s="155"/>
    </row>
    <row r="201" spans="1:5">
      <c r="D201" s="155"/>
    </row>
    <row r="202" spans="1:5">
      <c r="A202" s="269"/>
      <c r="E202" s="155"/>
    </row>
    <row r="203" spans="1:5">
      <c r="C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5">
      <c r="C209" s="155"/>
    </row>
    <row r="210" spans="1:5">
      <c r="A210" s="269"/>
      <c r="E210" s="155"/>
    </row>
    <row r="211" spans="1:5">
      <c r="C211" s="155"/>
    </row>
    <row r="212" spans="1:5">
      <c r="A212" s="269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5:K25"/>
    <mergeCell ref="G27:H27"/>
    <mergeCell ref="B31:D31"/>
    <mergeCell ref="B32:D32"/>
    <mergeCell ref="B16:D16"/>
    <mergeCell ref="B17:D17"/>
    <mergeCell ref="B19:D19"/>
    <mergeCell ref="B20:D20"/>
    <mergeCell ref="G21:H21"/>
  </mergeCells>
  <pageMargins left="0.7" right="0.7" top="0.75" bottom="0.75" header="0.3" footer="0.3"/>
  <drawing r:id="rId1"/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95054-2ADB-4F69-ABA0-5BE74CA3E687}">
  <dimension ref="A6:R212"/>
  <sheetViews>
    <sheetView showGridLines="0" topLeftCell="A4" workbookViewId="0">
      <selection activeCell="A4" sqref="A1:XFD1048576"/>
    </sheetView>
  </sheetViews>
  <sheetFormatPr baseColWidth="10" defaultRowHeight="14.5"/>
  <cols>
    <col min="2" max="2" width="32" customWidth="1"/>
    <col min="4" max="4" width="22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</row>
    <row r="12" spans="1:12" ht="19" thickBot="1">
      <c r="A12" s="1"/>
      <c r="B12" s="331" t="s">
        <v>2</v>
      </c>
      <c r="C12" s="332"/>
      <c r="D12" s="332"/>
      <c r="E12" s="333"/>
      <c r="F12" s="295"/>
      <c r="G12" s="296"/>
      <c r="H12" s="1"/>
      <c r="I12" s="1"/>
      <c r="J12" s="76"/>
      <c r="K12" s="1"/>
    </row>
    <row r="13" spans="1:12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</row>
    <row r="14" spans="1:12" ht="18" thickBot="1">
      <c r="A14" s="11"/>
      <c r="B14" s="334" t="s">
        <v>3</v>
      </c>
      <c r="C14" s="335"/>
      <c r="D14" s="336"/>
      <c r="E14" s="17">
        <f>SUM(E15:E17)</f>
        <v>1661002.1</v>
      </c>
      <c r="F14" s="217"/>
      <c r="G14" s="331" t="s">
        <v>4</v>
      </c>
      <c r="H14" s="332"/>
      <c r="I14" s="332"/>
      <c r="J14" s="332"/>
      <c r="K14" s="333"/>
      <c r="L14" s="13"/>
    </row>
    <row r="15" spans="1:12">
      <c r="A15" s="1"/>
      <c r="B15" s="337" t="s">
        <v>5</v>
      </c>
      <c r="C15" s="338"/>
      <c r="D15" s="339"/>
      <c r="E15" s="20">
        <f>J16+J17+J18+J19</f>
        <v>1499170.87</v>
      </c>
      <c r="F15" s="153"/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29331.420000000002</v>
      </c>
      <c r="F16" s="153"/>
      <c r="G16" s="22">
        <v>11202.34</v>
      </c>
      <c r="H16" s="23" t="s">
        <v>8</v>
      </c>
      <c r="I16" s="24"/>
      <c r="J16" s="25">
        <v>35004</v>
      </c>
      <c r="K16" s="26" t="s">
        <v>9</v>
      </c>
      <c r="L16" s="19"/>
    </row>
    <row r="17" spans="1:18">
      <c r="A17" s="1"/>
      <c r="B17" s="352" t="s">
        <v>6</v>
      </c>
      <c r="C17" s="353"/>
      <c r="D17" s="354"/>
      <c r="E17" s="28">
        <f>G16+G17+G18</f>
        <v>132499.81</v>
      </c>
      <c r="F17" s="153">
        <f>E15+E16+E17</f>
        <v>1661002.1</v>
      </c>
      <c r="G17" s="22">
        <v>106045.77</v>
      </c>
      <c r="H17" s="29" t="s">
        <v>10</v>
      </c>
      <c r="I17" s="30"/>
      <c r="J17" s="25">
        <v>62683</v>
      </c>
      <c r="K17" s="31" t="s">
        <v>10</v>
      </c>
      <c r="L17" s="13"/>
    </row>
    <row r="18" spans="1:18">
      <c r="A18" s="1"/>
      <c r="B18" s="236" t="s">
        <v>187</v>
      </c>
      <c r="C18" s="237"/>
      <c r="D18" s="238"/>
      <c r="E18" s="28">
        <f>+J22</f>
        <v>20822.95</v>
      </c>
      <c r="F18" s="153">
        <v>180000</v>
      </c>
      <c r="G18" s="22">
        <v>15251.7</v>
      </c>
      <c r="H18" s="29" t="s">
        <v>12</v>
      </c>
      <c r="I18" s="30"/>
      <c r="J18" s="25">
        <v>1110824.48</v>
      </c>
      <c r="K18" s="31" t="s">
        <v>12</v>
      </c>
      <c r="L18" s="13"/>
      <c r="N18" s="3"/>
    </row>
    <row r="19" spans="1:18">
      <c r="B19" s="379" t="s">
        <v>11</v>
      </c>
      <c r="C19" s="380"/>
      <c r="D19" s="381"/>
      <c r="E19" s="20">
        <f>G29+G31+G30+G28</f>
        <v>15082.240000000002</v>
      </c>
      <c r="F19" s="153">
        <f>+F17-F18</f>
        <v>1481002.1</v>
      </c>
      <c r="G19" s="33"/>
      <c r="H19" s="34"/>
      <c r="I19" s="30"/>
      <c r="J19" s="25">
        <v>290659.39</v>
      </c>
      <c r="K19" s="31" t="s">
        <v>14</v>
      </c>
      <c r="N19" s="3"/>
    </row>
    <row r="20" spans="1:18">
      <c r="B20" s="344" t="s">
        <v>13</v>
      </c>
      <c r="C20" s="345"/>
      <c r="D20" s="346"/>
      <c r="E20" s="20">
        <v>15425763.66</v>
      </c>
      <c r="F20" s="153"/>
      <c r="G20" s="239"/>
      <c r="H20" s="240"/>
      <c r="I20" s="30"/>
      <c r="J20" s="25"/>
      <c r="K20" s="31"/>
      <c r="L20" s="152"/>
      <c r="N20" s="3"/>
    </row>
    <row r="21" spans="1:18">
      <c r="B21" s="187" t="s">
        <v>15</v>
      </c>
      <c r="C21" s="188"/>
      <c r="D21" s="189"/>
      <c r="E21" s="190">
        <f>SUM(E22:E25)</f>
        <v>151552.18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  <c r="N21" s="268"/>
    </row>
    <row r="22" spans="1:18" ht="15" customHeight="1">
      <c r="B22" s="303"/>
      <c r="C22" s="304"/>
      <c r="D22" s="305" t="s">
        <v>394</v>
      </c>
      <c r="E22" s="190">
        <v>66003.259999999995</v>
      </c>
      <c r="F22" s="153"/>
      <c r="G22" s="44">
        <v>19980.240000000002</v>
      </c>
      <c r="H22" s="29" t="s">
        <v>10</v>
      </c>
      <c r="I22" s="30"/>
      <c r="J22" s="25">
        <v>20822.95</v>
      </c>
      <c r="K22" s="31" t="s">
        <v>188</v>
      </c>
      <c r="L22" s="294"/>
      <c r="M22" s="294"/>
    </row>
    <row r="23" spans="1:18" ht="15" customHeight="1">
      <c r="B23" s="301"/>
      <c r="C23" s="302"/>
      <c r="D23" s="306" t="s">
        <v>172</v>
      </c>
      <c r="E23" s="190">
        <v>20676.39</v>
      </c>
      <c r="F23" s="153"/>
      <c r="G23" s="44">
        <v>9351.18</v>
      </c>
      <c r="H23" s="29" t="s">
        <v>18</v>
      </c>
      <c r="I23" s="30"/>
      <c r="J23" s="25"/>
      <c r="K23" s="31"/>
      <c r="L23" s="294"/>
      <c r="M23" s="294"/>
    </row>
    <row r="24" spans="1:18" ht="15" thickBot="1">
      <c r="B24" s="187"/>
      <c r="C24" s="188"/>
      <c r="D24" s="198" t="s">
        <v>172</v>
      </c>
      <c r="E24" s="190">
        <v>50426.71</v>
      </c>
      <c r="F24" s="153"/>
      <c r="G24" s="51"/>
      <c r="H24" s="34"/>
      <c r="I24" s="30"/>
      <c r="J24" s="210"/>
      <c r="K24" s="53"/>
      <c r="L24" s="294"/>
      <c r="M24" s="294"/>
      <c r="O24" s="235"/>
    </row>
    <row r="25" spans="1:18" ht="15" thickBot="1">
      <c r="B25" s="187"/>
      <c r="C25" s="188"/>
      <c r="D25" s="198" t="s">
        <v>172</v>
      </c>
      <c r="E25" s="190">
        <v>14445.82</v>
      </c>
      <c r="F25" s="153"/>
      <c r="G25" s="331" t="s">
        <v>21</v>
      </c>
      <c r="H25" s="332"/>
      <c r="I25" s="332"/>
      <c r="J25" s="332"/>
      <c r="K25" s="333"/>
    </row>
    <row r="26" spans="1:18">
      <c r="B26" s="202" t="s">
        <v>17</v>
      </c>
      <c r="C26" s="203"/>
      <c r="D26" s="204"/>
      <c r="E26" s="234">
        <f>5000+127097.23</f>
        <v>132097.22999999998</v>
      </c>
      <c r="F26" s="220"/>
      <c r="G26" s="54"/>
      <c r="H26" s="55"/>
      <c r="I26" s="56"/>
      <c r="J26" s="211"/>
      <c r="K26" s="58"/>
      <c r="N26" s="290"/>
    </row>
    <row r="27" spans="1:18">
      <c r="B27" s="202" t="s">
        <v>163</v>
      </c>
      <c r="C27" s="203"/>
      <c r="D27" s="204"/>
      <c r="E27" s="234">
        <v>0</v>
      </c>
      <c r="F27" s="153">
        <f>+F19-E26</f>
        <v>1348904.87</v>
      </c>
      <c r="G27" s="377" t="s">
        <v>5</v>
      </c>
      <c r="H27" s="378"/>
      <c r="I27" s="59"/>
      <c r="J27" s="60"/>
      <c r="K27" s="45"/>
      <c r="N27" s="290"/>
      <c r="Q27" s="155"/>
      <c r="R27" s="155"/>
    </row>
    <row r="28" spans="1:18">
      <c r="B28" s="199" t="s">
        <v>22</v>
      </c>
      <c r="C28" s="200"/>
      <c r="D28" s="201"/>
      <c r="E28" s="234">
        <v>0</v>
      </c>
      <c r="F28" s="288">
        <f>SUM(E26:E32)</f>
        <v>430365.23</v>
      </c>
      <c r="G28" s="22">
        <v>4181.7700000000004</v>
      </c>
      <c r="H28" s="62" t="s">
        <v>9</v>
      </c>
      <c r="I28" s="59"/>
      <c r="J28" s="60"/>
      <c r="K28" s="45"/>
      <c r="N28" s="290"/>
      <c r="P28" s="155"/>
      <c r="R28" s="155"/>
    </row>
    <row r="29" spans="1:18">
      <c r="B29" s="199" t="s">
        <v>80</v>
      </c>
      <c r="C29" s="200"/>
      <c r="D29" s="201"/>
      <c r="E29" s="234">
        <f>252434+3294+2012+1506+37034+1988</f>
        <v>298268</v>
      </c>
      <c r="F29" s="153">
        <f>+F27-F28</f>
        <v>918539.64000000013</v>
      </c>
      <c r="G29" s="22">
        <v>1708.73</v>
      </c>
      <c r="H29" s="62" t="s">
        <v>26</v>
      </c>
      <c r="I29" s="63"/>
      <c r="J29" s="64" t="s">
        <v>27</v>
      </c>
      <c r="K29" s="65" t="s">
        <v>28</v>
      </c>
      <c r="M29" s="291"/>
      <c r="N29" s="292"/>
    </row>
    <row r="30" spans="1:18">
      <c r="B30" s="199" t="s">
        <v>24</v>
      </c>
      <c r="C30" s="200"/>
      <c r="D30" s="201"/>
      <c r="E30" s="49">
        <v>0</v>
      </c>
      <c r="F30" s="221"/>
      <c r="G30" s="67">
        <v>1910.38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1:18" ht="15" thickBot="1">
      <c r="B31" s="344" t="s">
        <v>69</v>
      </c>
      <c r="C31" s="345"/>
      <c r="D31" s="346"/>
      <c r="E31" s="234">
        <v>0</v>
      </c>
      <c r="F31" s="220"/>
      <c r="G31" s="71">
        <v>7281.36</v>
      </c>
      <c r="H31" s="72" t="s">
        <v>12</v>
      </c>
      <c r="I31" s="73"/>
      <c r="J31" s="74" t="s">
        <v>32</v>
      </c>
      <c r="K31" s="75" t="s">
        <v>33</v>
      </c>
    </row>
    <row r="32" spans="1:18" ht="15" thickBot="1">
      <c r="B32" s="363" t="s">
        <v>29</v>
      </c>
      <c r="C32" s="364"/>
      <c r="D32" s="365"/>
      <c r="E32" s="66">
        <v>0</v>
      </c>
      <c r="F32" s="220"/>
      <c r="N32" s="269"/>
      <c r="P32" s="155"/>
      <c r="R32" s="155"/>
    </row>
    <row r="33" spans="2:18">
      <c r="E33" s="61"/>
      <c r="F33" s="220"/>
    </row>
    <row r="34" spans="2:18">
      <c r="E34" s="61"/>
      <c r="F34" s="220"/>
      <c r="H34" s="61"/>
      <c r="I34" s="61"/>
      <c r="J34" s="39"/>
      <c r="K34" s="61"/>
      <c r="N34" s="269"/>
      <c r="P34" s="155"/>
      <c r="R34" s="155"/>
    </row>
    <row r="35" spans="2:18">
      <c r="E35" s="61"/>
      <c r="F35" s="220"/>
      <c r="G35" s="8"/>
      <c r="H35" s="61"/>
      <c r="I35" s="61"/>
      <c r="J35" s="39"/>
      <c r="K35" s="61"/>
    </row>
    <row r="36" spans="2:18">
      <c r="E36" s="61"/>
      <c r="F36" s="220"/>
      <c r="G36" s="8"/>
      <c r="H36" s="13"/>
      <c r="I36" s="61"/>
      <c r="J36" s="13"/>
      <c r="K36" s="83"/>
      <c r="L36" s="61"/>
      <c r="M36" s="61"/>
      <c r="N36" s="269"/>
      <c r="P36" s="155"/>
      <c r="R36" s="155"/>
    </row>
    <row r="37" spans="2:18">
      <c r="B37" s="61"/>
      <c r="C37" s="61"/>
      <c r="D37" s="61"/>
      <c r="E37" s="110" t="s">
        <v>391</v>
      </c>
      <c r="F37" s="299"/>
      <c r="G37" s="181"/>
      <c r="H37" s="161"/>
      <c r="I37" s="197"/>
      <c r="J37" s="13"/>
      <c r="K37" s="83"/>
      <c r="L37" s="61"/>
      <c r="M37" s="61"/>
    </row>
    <row r="38" spans="2:18" s="61" customFormat="1" ht="15" customHeight="1">
      <c r="E38" s="110"/>
      <c r="F38" s="299"/>
      <c r="G38" s="86"/>
      <c r="H38" s="161"/>
      <c r="I38" s="197"/>
      <c r="J38" s="13"/>
      <c r="K38" s="83"/>
      <c r="L38" s="88"/>
      <c r="N38" s="272"/>
      <c r="P38" s="273"/>
      <c r="R38" s="273"/>
    </row>
    <row r="39" spans="2:18" s="61" customFormat="1" ht="15" customHeight="1">
      <c r="E39" s="82" t="s">
        <v>34</v>
      </c>
      <c r="F39" s="299">
        <f>F19</f>
        <v>1481002.1</v>
      </c>
      <c r="G39" s="86"/>
      <c r="I39" s="197"/>
      <c r="J39" s="13"/>
      <c r="K39" s="85"/>
      <c r="L39" s="161"/>
      <c r="M39" s="197"/>
    </row>
    <row r="40" spans="2:18" s="61" customFormat="1" ht="15" customHeight="1">
      <c r="E40" s="82" t="s">
        <v>35</v>
      </c>
      <c r="F40" s="299">
        <f>+E19</f>
        <v>15082.240000000002</v>
      </c>
      <c r="G40" s="86"/>
      <c r="I40" s="214"/>
      <c r="J40" s="13"/>
      <c r="K40" s="87"/>
      <c r="L40" s="161"/>
      <c r="M40" s="197"/>
      <c r="N40" s="272"/>
      <c r="P40" s="273"/>
      <c r="R40" s="273"/>
    </row>
    <row r="41" spans="2:18" s="61" customFormat="1" ht="15" customHeight="1">
      <c r="E41" s="82" t="s">
        <v>36</v>
      </c>
      <c r="F41" s="299">
        <v>0</v>
      </c>
      <c r="G41" s="9"/>
      <c r="I41" s="197"/>
      <c r="J41" s="13"/>
      <c r="M41" s="197"/>
    </row>
    <row r="42" spans="2:18" s="61" customFormat="1" ht="15" customHeight="1">
      <c r="E42" s="82" t="s">
        <v>37</v>
      </c>
      <c r="F42" s="299">
        <v>0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112" t="s">
        <v>38</v>
      </c>
      <c r="F43" s="225">
        <f>SUM(F39:F42)</f>
        <v>1496084.34</v>
      </c>
      <c r="G43" s="9"/>
      <c r="H43" s="163"/>
      <c r="I43" s="229"/>
      <c r="J43" s="13"/>
      <c r="M43" s="197"/>
    </row>
    <row r="44" spans="2:18" s="61" customFormat="1" ht="15" customHeight="1">
      <c r="E44" s="113"/>
      <c r="F44" s="226"/>
      <c r="G44" s="9"/>
      <c r="H44" s="165"/>
      <c r="I44" s="230"/>
      <c r="J44" s="13"/>
      <c r="M44" s="197"/>
      <c r="N44" s="272"/>
      <c r="P44" s="273"/>
      <c r="R44" s="273"/>
    </row>
    <row r="45" spans="2:18" s="61" customFormat="1" ht="15" customHeight="1">
      <c r="E45" s="113" t="s">
        <v>152</v>
      </c>
      <c r="F45" s="226">
        <v>235000</v>
      </c>
      <c r="G45" s="9"/>
      <c r="H45" s="165"/>
      <c r="I45" s="230"/>
      <c r="J45" s="13"/>
      <c r="M45" s="197"/>
      <c r="N45" s="272"/>
      <c r="P45" s="273"/>
      <c r="R45" s="273"/>
    </row>
    <row r="46" spans="2:18" s="61" customFormat="1" ht="15" customHeight="1">
      <c r="E46" s="113" t="s">
        <v>80</v>
      </c>
      <c r="F46" s="226">
        <f>+F60+F59</f>
        <v>496848</v>
      </c>
      <c r="G46" s="9"/>
      <c r="H46" s="165"/>
      <c r="I46" s="230"/>
      <c r="J46" s="13"/>
      <c r="M46" s="197"/>
      <c r="N46" s="272"/>
      <c r="P46" s="273"/>
      <c r="R46" s="273"/>
    </row>
    <row r="47" spans="2:18" s="61" customFormat="1" ht="15" customHeight="1">
      <c r="E47" s="113" t="s">
        <v>81</v>
      </c>
      <c r="F47" s="226">
        <f>+E29</f>
        <v>298268</v>
      </c>
      <c r="G47" s="9"/>
      <c r="H47" s="165"/>
      <c r="I47" s="230"/>
      <c r="J47" s="13"/>
      <c r="M47" s="197"/>
      <c r="N47" s="272"/>
      <c r="P47" s="273"/>
      <c r="R47" s="273"/>
    </row>
    <row r="48" spans="2:18" s="61" customFormat="1" ht="15" customHeight="1">
      <c r="E48" s="116" t="s">
        <v>24</v>
      </c>
      <c r="F48" s="221">
        <f>15000+65000+5000</f>
        <v>85000</v>
      </c>
      <c r="G48" s="8"/>
      <c r="H48" s="91"/>
      <c r="I48" s="231"/>
      <c r="J48" s="13"/>
    </row>
    <row r="49" spans="2:13" s="61" customFormat="1" ht="15" customHeight="1">
      <c r="E49" s="116" t="s">
        <v>22</v>
      </c>
      <c r="F49" s="221">
        <v>42000</v>
      </c>
      <c r="G49" s="8"/>
      <c r="H49" s="96"/>
      <c r="I49" s="231"/>
      <c r="J49" s="262"/>
    </row>
    <row r="50" spans="2:13" s="61" customFormat="1">
      <c r="E50" s="116" t="s">
        <v>40</v>
      </c>
      <c r="F50" s="226">
        <f>200000-90000-13000</f>
        <v>97000</v>
      </c>
      <c r="G50" s="82"/>
      <c r="H50" s="83"/>
      <c r="I50" s="228"/>
      <c r="J50" s="13"/>
    </row>
    <row r="51" spans="2:13" s="61" customFormat="1">
      <c r="E51" s="116" t="s">
        <v>69</v>
      </c>
      <c r="F51" s="226">
        <v>60000</v>
      </c>
      <c r="G51" s="82"/>
      <c r="H51" s="83"/>
      <c r="I51" s="228"/>
      <c r="J51" s="13"/>
    </row>
    <row r="52" spans="2:13" s="61" customFormat="1">
      <c r="E52" s="118" t="s">
        <v>41</v>
      </c>
      <c r="F52" s="225">
        <f>SUM(F45:F51)</f>
        <v>1314116</v>
      </c>
      <c r="G52" s="82"/>
      <c r="H52" s="83"/>
      <c r="I52" s="233"/>
      <c r="J52" s="13"/>
    </row>
    <row r="53" spans="2:13" s="61" customFormat="1">
      <c r="E53" s="118" t="s">
        <v>42</v>
      </c>
      <c r="F53" s="225">
        <f>F43-F52</f>
        <v>181968.34000000008</v>
      </c>
      <c r="G53" s="82"/>
      <c r="H53" s="83"/>
      <c r="I53" s="233"/>
      <c r="J53" s="13"/>
    </row>
    <row r="54" spans="2:13" s="61" customFormat="1">
      <c r="E54" s="82"/>
      <c r="F54" s="80"/>
      <c r="G54" s="82"/>
      <c r="H54" s="83"/>
      <c r="I54" s="233"/>
      <c r="J54" s="13"/>
      <c r="L54" s="91"/>
      <c r="M54" s="232"/>
    </row>
    <row r="55" spans="2:13" s="61" customFormat="1">
      <c r="E55" s="82" t="s">
        <v>43</v>
      </c>
      <c r="F55" s="80">
        <v>0</v>
      </c>
      <c r="G55" s="82"/>
      <c r="H55" s="96"/>
      <c r="I55" s="228"/>
      <c r="J55" s="13"/>
      <c r="L55" s="91"/>
      <c r="M55" s="232"/>
    </row>
    <row r="56" spans="2:13" s="61" customFormat="1">
      <c r="E56" s="82" t="s">
        <v>44</v>
      </c>
      <c r="F56" s="80">
        <v>40000</v>
      </c>
      <c r="G56" s="82"/>
      <c r="H56" s="96"/>
      <c r="I56" s="228"/>
      <c r="J56" s="13"/>
      <c r="L56" s="91"/>
      <c r="M56" s="232"/>
    </row>
    <row r="57" spans="2:13" s="61" customFormat="1">
      <c r="E57" s="82" t="s">
        <v>386</v>
      </c>
      <c r="F57" s="80">
        <v>3866.8</v>
      </c>
      <c r="G57" s="82"/>
      <c r="H57" s="83"/>
      <c r="I57" s="233"/>
      <c r="J57" s="13"/>
      <c r="L57" s="96"/>
      <c r="M57" s="231"/>
    </row>
    <row r="58" spans="2:13" s="61" customFormat="1">
      <c r="E58" s="82" t="s">
        <v>45</v>
      </c>
      <c r="F58" s="117">
        <v>993098.58</v>
      </c>
      <c r="G58" s="8"/>
      <c r="H58" s="96"/>
      <c r="I58" s="219"/>
      <c r="J58" s="13"/>
      <c r="L58" s="96"/>
      <c r="M58" s="233"/>
    </row>
    <row r="59" spans="2:13" s="61" customFormat="1">
      <c r="E59" s="82" t="s">
        <v>205</v>
      </c>
      <c r="F59" s="117">
        <v>496848</v>
      </c>
      <c r="G59" s="8"/>
      <c r="J59" s="13"/>
    </row>
    <row r="60" spans="2:13" s="61" customFormat="1">
      <c r="B60"/>
      <c r="C60"/>
      <c r="D60"/>
      <c r="E60" s="82" t="s">
        <v>206</v>
      </c>
      <c r="F60" s="117">
        <v>0</v>
      </c>
      <c r="G60" s="8"/>
      <c r="J60" s="13"/>
      <c r="L60" s="83"/>
      <c r="M60" s="228"/>
    </row>
    <row r="61" spans="2:13">
      <c r="E61" s="118" t="s">
        <v>46</v>
      </c>
      <c r="F61" s="120">
        <f>SUM(F55:F60)</f>
        <v>1533813.38</v>
      </c>
      <c r="G61" s="8"/>
      <c r="L61" s="61"/>
      <c r="M61" s="61"/>
    </row>
    <row r="62" spans="2:13">
      <c r="E62" s="82"/>
      <c r="F62" s="80"/>
      <c r="G62" s="8"/>
      <c r="L62" s="61"/>
      <c r="M62" s="61"/>
    </row>
    <row r="63" spans="2:13">
      <c r="E63" s="118" t="s">
        <v>47</v>
      </c>
      <c r="F63" s="120">
        <f>F53-F61</f>
        <v>-1351845.0399999998</v>
      </c>
      <c r="G63" s="8"/>
    </row>
    <row r="64" spans="2:13">
      <c r="D64" s="247" t="s">
        <v>192</v>
      </c>
      <c r="E64" s="8"/>
      <c r="F64" s="220"/>
      <c r="G64" s="8"/>
    </row>
    <row r="65" spans="1:7">
      <c r="D65" s="247" t="s">
        <v>194</v>
      </c>
      <c r="E65" s="61"/>
      <c r="F65" s="219"/>
      <c r="G65" s="8"/>
    </row>
    <row r="66" spans="1:7">
      <c r="D66" s="8" t="s">
        <v>9</v>
      </c>
      <c r="E66" s="61"/>
      <c r="F66" s="219"/>
      <c r="G66" s="124">
        <f>SUM(E74:F74)</f>
        <v>0</v>
      </c>
    </row>
    <row r="67" spans="1:7">
      <c r="D67" s="8" t="s">
        <v>195</v>
      </c>
      <c r="E67" s="61"/>
      <c r="F67" s="219"/>
      <c r="G67" s="8"/>
    </row>
    <row r="68" spans="1:7">
      <c r="D68" s="8" t="s">
        <v>188</v>
      </c>
      <c r="E68" s="243"/>
      <c r="F68" s="243"/>
      <c r="G68" s="8"/>
    </row>
    <row r="69" spans="1:7">
      <c r="D69" s="8"/>
      <c r="E69" s="243"/>
      <c r="F69" s="244"/>
    </row>
    <row r="70" spans="1:7">
      <c r="E70" s="245"/>
      <c r="F70" s="246"/>
    </row>
    <row r="71" spans="1:7">
      <c r="E71" s="245"/>
      <c r="F71" s="246"/>
    </row>
    <row r="72" spans="1:7">
      <c r="E72" s="249"/>
      <c r="F72" s="287"/>
    </row>
    <row r="73" spans="1:7">
      <c r="E73" s="124"/>
      <c r="F73" s="287"/>
    </row>
    <row r="74" spans="1:7">
      <c r="E74" s="8"/>
    </row>
    <row r="75" spans="1:7">
      <c r="E75" s="8"/>
    </row>
    <row r="76" spans="1:7">
      <c r="A76" s="268"/>
      <c r="E76" s="8"/>
    </row>
    <row r="77" spans="1:7">
      <c r="E77" s="8"/>
    </row>
    <row r="78" spans="1:7">
      <c r="B78" s="235"/>
      <c r="E78" s="8"/>
    </row>
    <row r="79" spans="1:7">
      <c r="E79" s="8"/>
    </row>
    <row r="80" spans="1:7">
      <c r="E80" s="293"/>
    </row>
    <row r="81" spans="1:5">
      <c r="C81" s="155"/>
      <c r="E81" s="8"/>
    </row>
    <row r="82" spans="1:5">
      <c r="A82" s="269"/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93"/>
    </row>
    <row r="111" spans="1:5">
      <c r="C111" s="155"/>
      <c r="E111" s="8"/>
    </row>
    <row r="112" spans="1:5">
      <c r="A112" s="269"/>
      <c r="E112" s="277"/>
    </row>
    <row r="113" spans="1:5">
      <c r="C113" s="155"/>
      <c r="E113" s="79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  <c r="E123" s="79"/>
    </row>
    <row r="124" spans="1:5">
      <c r="A124" s="269"/>
      <c r="E124" s="277"/>
    </row>
    <row r="125" spans="1:5">
      <c r="C125" s="155"/>
    </row>
    <row r="126" spans="1:5">
      <c r="A126" s="269"/>
      <c r="E126" s="155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C199" s="155"/>
    </row>
    <row r="200" spans="1:5">
      <c r="A200" s="269"/>
      <c r="E200" s="155"/>
    </row>
    <row r="201" spans="1:5">
      <c r="D201" s="155"/>
    </row>
    <row r="202" spans="1:5">
      <c r="A202" s="269"/>
      <c r="E202" s="155"/>
    </row>
    <row r="203" spans="1:5">
      <c r="C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5">
      <c r="C209" s="155"/>
    </row>
    <row r="210" spans="1:5">
      <c r="A210" s="269"/>
      <c r="E210" s="155"/>
    </row>
    <row r="211" spans="1:5">
      <c r="C211" s="155"/>
    </row>
    <row r="212" spans="1:5">
      <c r="A212" s="269"/>
    </row>
  </sheetData>
  <mergeCells count="16"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6A459-F736-42FB-81D2-858B290E27C0}">
  <dimension ref="A6:R212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22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3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3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3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3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3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3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  <c r="M11" s="235">
        <v>11975.41</v>
      </c>
    </row>
    <row r="12" spans="1:13" ht="19" thickBot="1">
      <c r="A12" s="1"/>
      <c r="B12" s="331" t="s">
        <v>2</v>
      </c>
      <c r="C12" s="332"/>
      <c r="D12" s="332"/>
      <c r="E12" s="333"/>
      <c r="F12" s="295"/>
      <c r="G12" s="296"/>
      <c r="H12" s="1"/>
      <c r="I12" s="1"/>
      <c r="J12" s="76"/>
      <c r="K12" s="1"/>
      <c r="M12">
        <v>8192.64</v>
      </c>
    </row>
    <row r="13" spans="1:13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  <c r="M13" s="235">
        <f>M11-M12</f>
        <v>3782.7700000000004</v>
      </c>
    </row>
    <row r="14" spans="1:13" ht="18" thickBot="1">
      <c r="A14" s="11"/>
      <c r="B14" s="334" t="s">
        <v>3</v>
      </c>
      <c r="C14" s="335"/>
      <c r="D14" s="336"/>
      <c r="E14" s="17">
        <f>SUM(E15:E17)</f>
        <v>534676.51</v>
      </c>
      <c r="F14" s="217"/>
      <c r="G14" s="331" t="s">
        <v>4</v>
      </c>
      <c r="H14" s="332"/>
      <c r="I14" s="332"/>
      <c r="J14" s="332"/>
      <c r="K14" s="333"/>
      <c r="L14" s="13"/>
      <c r="M14">
        <v>14</v>
      </c>
    </row>
    <row r="15" spans="1:13">
      <c r="A15" s="1"/>
      <c r="B15" s="337" t="s">
        <v>5</v>
      </c>
      <c r="C15" s="338"/>
      <c r="D15" s="339"/>
      <c r="E15" s="20">
        <f>J16+J17+J18+J19</f>
        <v>417704.73000000004</v>
      </c>
      <c r="F15" s="150"/>
      <c r="G15" s="340" t="s">
        <v>6</v>
      </c>
      <c r="H15" s="341"/>
      <c r="I15" s="21"/>
      <c r="J15" s="342" t="s">
        <v>5</v>
      </c>
      <c r="K15" s="343"/>
      <c r="L15" s="13"/>
      <c r="M15" s="235">
        <f>M13/M14</f>
        <v>270.19785714285717</v>
      </c>
    </row>
    <row r="16" spans="1:13">
      <c r="A16" s="1"/>
      <c r="B16" s="349" t="s">
        <v>7</v>
      </c>
      <c r="C16" s="350"/>
      <c r="D16" s="351"/>
      <c r="E16" s="20">
        <f>G22+G23</f>
        <v>25164.420000000002</v>
      </c>
      <c r="F16" s="150"/>
      <c r="G16" s="22">
        <v>20027.34</v>
      </c>
      <c r="H16" s="23" t="s">
        <v>8</v>
      </c>
      <c r="I16" s="24"/>
      <c r="J16" s="25">
        <v>46012.84</v>
      </c>
      <c r="K16" s="26" t="s">
        <v>9</v>
      </c>
      <c r="L16" s="19"/>
    </row>
    <row r="17" spans="1:18">
      <c r="A17" s="1"/>
      <c r="B17" s="352" t="s">
        <v>6</v>
      </c>
      <c r="C17" s="353"/>
      <c r="D17" s="354"/>
      <c r="E17" s="28">
        <f>G16+G17+G18</f>
        <v>91807.360000000001</v>
      </c>
      <c r="F17" s="153">
        <f>E15+E16+E17</f>
        <v>534676.51</v>
      </c>
      <c r="G17" s="22">
        <v>47283.38</v>
      </c>
      <c r="H17" s="29" t="s">
        <v>10</v>
      </c>
      <c r="I17" s="30"/>
      <c r="J17" s="25">
        <v>55249.8</v>
      </c>
      <c r="K17" s="31" t="s">
        <v>10</v>
      </c>
      <c r="L17" s="13"/>
    </row>
    <row r="18" spans="1:18">
      <c r="A18" s="1"/>
      <c r="B18" s="236" t="s">
        <v>187</v>
      </c>
      <c r="C18" s="237"/>
      <c r="D18" s="238"/>
      <c r="E18" s="28">
        <f>+J22</f>
        <v>20822.95</v>
      </c>
      <c r="F18" s="153">
        <v>180000</v>
      </c>
      <c r="G18" s="22">
        <v>24496.639999999999</v>
      </c>
      <c r="H18" s="29" t="s">
        <v>12</v>
      </c>
      <c r="I18" s="30"/>
      <c r="J18" s="25">
        <f>732499.68-700000</f>
        <v>32499.680000000051</v>
      </c>
      <c r="K18" s="31" t="s">
        <v>12</v>
      </c>
      <c r="L18" s="13"/>
      <c r="N18" s="3"/>
    </row>
    <row r="19" spans="1:18">
      <c r="B19" s="379" t="s">
        <v>11</v>
      </c>
      <c r="C19" s="380"/>
      <c r="D19" s="381"/>
      <c r="E19" s="20">
        <f>G29+G31+G30+G28</f>
        <v>715086.8</v>
      </c>
      <c r="F19" s="153">
        <f>+F17-F18</f>
        <v>354676.51</v>
      </c>
      <c r="G19" s="33"/>
      <c r="H19" s="34"/>
      <c r="I19" s="30"/>
      <c r="J19" s="25">
        <v>283942.40999999997</v>
      </c>
      <c r="K19" s="31" t="s">
        <v>14</v>
      </c>
      <c r="N19" s="3"/>
    </row>
    <row r="20" spans="1:18">
      <c r="B20" s="344" t="s">
        <v>13</v>
      </c>
      <c r="C20" s="345"/>
      <c r="D20" s="346"/>
      <c r="E20" s="20">
        <v>15535677.050000001</v>
      </c>
      <c r="F20" s="153"/>
      <c r="G20" s="239"/>
      <c r="H20" s="240"/>
      <c r="I20" s="30"/>
      <c r="J20" s="25"/>
      <c r="K20" s="31"/>
      <c r="L20" s="152"/>
      <c r="N20" s="3"/>
    </row>
    <row r="21" spans="1:18">
      <c r="B21" s="187" t="s">
        <v>15</v>
      </c>
      <c r="C21" s="188"/>
      <c r="D21" s="189"/>
      <c r="E21" s="190">
        <f>SUM(E22:E25)</f>
        <v>0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  <c r="N21" s="268"/>
    </row>
    <row r="22" spans="1:18" ht="15" customHeight="1">
      <c r="B22" s="303"/>
      <c r="C22" s="304"/>
      <c r="D22" s="305"/>
      <c r="E22" s="190">
        <v>0</v>
      </c>
      <c r="F22" s="153"/>
      <c r="G22" s="44">
        <v>19980.240000000002</v>
      </c>
      <c r="H22" s="29" t="s">
        <v>10</v>
      </c>
      <c r="I22" s="30"/>
      <c r="J22" s="25">
        <v>20822.95</v>
      </c>
      <c r="K22" s="31" t="s">
        <v>188</v>
      </c>
      <c r="L22" s="294"/>
      <c r="M22" s="294"/>
    </row>
    <row r="23" spans="1:18" ht="15" customHeight="1">
      <c r="B23" s="301"/>
      <c r="C23" s="302"/>
      <c r="D23" s="306"/>
      <c r="E23" s="190">
        <v>0</v>
      </c>
      <c r="F23" s="153"/>
      <c r="G23" s="44">
        <v>5184.18</v>
      </c>
      <c r="H23" s="29" t="s">
        <v>18</v>
      </c>
      <c r="I23" s="30"/>
      <c r="J23" s="25"/>
      <c r="K23" s="31"/>
      <c r="L23" s="294"/>
      <c r="M23" s="294"/>
    </row>
    <row r="24" spans="1:18" ht="15" thickBot="1">
      <c r="B24" s="187"/>
      <c r="C24" s="188"/>
      <c r="D24" s="198"/>
      <c r="E24" s="190">
        <v>0</v>
      </c>
      <c r="F24" s="153"/>
      <c r="G24" s="51"/>
      <c r="H24" s="34"/>
      <c r="I24" s="30"/>
      <c r="J24" s="210"/>
      <c r="K24" s="53"/>
      <c r="L24" s="294"/>
      <c r="M24" s="294"/>
      <c r="O24" s="235"/>
    </row>
    <row r="25" spans="1:18" ht="15" thickBot="1">
      <c r="B25" s="187"/>
      <c r="C25" s="188"/>
      <c r="D25" s="198"/>
      <c r="E25" s="190">
        <v>0</v>
      </c>
      <c r="F25" s="153"/>
      <c r="G25" s="331" t="s">
        <v>21</v>
      </c>
      <c r="H25" s="332"/>
      <c r="I25" s="332"/>
      <c r="J25" s="332"/>
      <c r="K25" s="333"/>
    </row>
    <row r="26" spans="1:18">
      <c r="B26" s="202" t="s">
        <v>17</v>
      </c>
      <c r="C26" s="203"/>
      <c r="D26" s="204"/>
      <c r="E26" s="234">
        <v>1624</v>
      </c>
      <c r="F26" s="220"/>
      <c r="G26" s="54"/>
      <c r="H26" s="55"/>
      <c r="I26" s="56"/>
      <c r="J26" s="211"/>
      <c r="K26" s="58"/>
      <c r="N26" s="290"/>
    </row>
    <row r="27" spans="1:18">
      <c r="B27" s="202" t="s">
        <v>163</v>
      </c>
      <c r="C27" s="203"/>
      <c r="D27" s="204"/>
      <c r="E27" s="234">
        <v>235000</v>
      </c>
      <c r="F27" s="153">
        <f>+F19-E26</f>
        <v>353052.51</v>
      </c>
      <c r="G27" s="377" t="s">
        <v>5</v>
      </c>
      <c r="H27" s="378"/>
      <c r="I27" s="59"/>
      <c r="J27" s="60"/>
      <c r="K27" s="45"/>
      <c r="N27" s="290"/>
      <c r="Q27" s="155"/>
      <c r="R27" s="155"/>
    </row>
    <row r="28" spans="1:18">
      <c r="B28" s="199" t="s">
        <v>22</v>
      </c>
      <c r="C28" s="200"/>
      <c r="D28" s="201"/>
      <c r="E28" s="234">
        <v>269.39999999999998</v>
      </c>
      <c r="F28" s="288">
        <f>SUM(E26:E32)</f>
        <v>284609.51</v>
      </c>
      <c r="G28" s="22">
        <v>4183.93</v>
      </c>
      <c r="H28" s="62" t="s">
        <v>9</v>
      </c>
      <c r="I28" s="59"/>
      <c r="J28" s="60"/>
      <c r="K28" s="45"/>
      <c r="N28" s="290"/>
      <c r="P28" s="155"/>
      <c r="R28" s="155"/>
    </row>
    <row r="29" spans="1:18">
      <c r="B29" s="199" t="s">
        <v>80</v>
      </c>
      <c r="C29" s="200"/>
      <c r="D29" s="201"/>
      <c r="E29" s="234">
        <v>0</v>
      </c>
      <c r="F29" s="153">
        <f>+F27-F28</f>
        <v>68443</v>
      </c>
      <c r="G29" s="22">
        <v>1708.89</v>
      </c>
      <c r="H29" s="62" t="s">
        <v>26</v>
      </c>
      <c r="I29" s="63"/>
      <c r="J29" s="64" t="s">
        <v>27</v>
      </c>
      <c r="K29" s="65" t="s">
        <v>28</v>
      </c>
      <c r="M29" s="291"/>
      <c r="N29" s="292"/>
    </row>
    <row r="30" spans="1:18">
      <c r="B30" s="199" t="s">
        <v>24</v>
      </c>
      <c r="C30" s="200"/>
      <c r="D30" s="201"/>
      <c r="E30" s="49">
        <v>47716.11</v>
      </c>
      <c r="F30" s="221"/>
      <c r="G30" s="67">
        <v>1910.73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1:18" ht="15" thickBot="1">
      <c r="B31" s="344" t="s">
        <v>69</v>
      </c>
      <c r="C31" s="345"/>
      <c r="D31" s="346"/>
      <c r="E31" s="234">
        <v>0</v>
      </c>
      <c r="F31" s="220"/>
      <c r="G31" s="71">
        <f>7283.25+700000</f>
        <v>707283.25</v>
      </c>
      <c r="H31" s="72" t="s">
        <v>12</v>
      </c>
      <c r="I31" s="73"/>
      <c r="J31" s="74" t="s">
        <v>32</v>
      </c>
      <c r="K31" s="75" t="s">
        <v>33</v>
      </c>
    </row>
    <row r="32" spans="1:18" ht="15" thickBot="1">
      <c r="B32" s="363" t="s">
        <v>29</v>
      </c>
      <c r="C32" s="364"/>
      <c r="D32" s="365"/>
      <c r="E32" s="66">
        <v>0</v>
      </c>
      <c r="F32" s="220"/>
      <c r="N32" s="269"/>
      <c r="P32" s="155"/>
      <c r="R32" s="155"/>
    </row>
    <row r="33" spans="2:18">
      <c r="E33" s="61"/>
      <c r="F33" s="220"/>
    </row>
    <row r="34" spans="2:18">
      <c r="E34" s="61"/>
      <c r="F34" s="220"/>
      <c r="H34" s="61"/>
      <c r="I34" s="61"/>
      <c r="J34" s="39"/>
      <c r="K34" s="61"/>
      <c r="N34" s="269"/>
      <c r="P34" s="155"/>
      <c r="R34" s="155"/>
    </row>
    <row r="35" spans="2:18">
      <c r="E35" s="61"/>
      <c r="F35" s="220"/>
      <c r="G35" s="8"/>
      <c r="H35" s="61"/>
      <c r="I35" s="61"/>
      <c r="J35" s="39"/>
      <c r="K35" s="61"/>
    </row>
    <row r="36" spans="2:18">
      <c r="E36" s="61"/>
      <c r="F36" s="220"/>
      <c r="G36" s="8"/>
      <c r="H36" s="13"/>
      <c r="I36" s="61"/>
      <c r="J36" s="13"/>
      <c r="K36" s="83"/>
      <c r="L36" s="61"/>
      <c r="M36" s="61"/>
      <c r="N36" s="269"/>
      <c r="P36" s="155"/>
      <c r="R36" s="155"/>
    </row>
    <row r="37" spans="2:18">
      <c r="B37" s="61"/>
      <c r="C37" s="61"/>
      <c r="D37" s="61"/>
      <c r="E37" s="110" t="s">
        <v>391</v>
      </c>
      <c r="F37" s="299"/>
      <c r="G37" s="181"/>
      <c r="H37" s="161"/>
      <c r="I37" s="197"/>
      <c r="J37" s="13"/>
      <c r="K37" s="83"/>
      <c r="L37" s="61"/>
      <c r="M37" s="61"/>
    </row>
    <row r="38" spans="2:18" s="61" customFormat="1" ht="15" customHeight="1">
      <c r="E38" s="110"/>
      <c r="F38" s="299"/>
      <c r="G38" s="86"/>
      <c r="H38" s="161"/>
      <c r="I38" s="197"/>
      <c r="J38" s="13"/>
      <c r="K38" s="83"/>
      <c r="L38" s="88"/>
      <c r="N38" s="272"/>
      <c r="P38" s="273"/>
      <c r="R38" s="273"/>
    </row>
    <row r="39" spans="2:18" s="61" customFormat="1" ht="15" customHeight="1">
      <c r="E39" s="82" t="s">
        <v>34</v>
      </c>
      <c r="F39" s="299">
        <f>F19</f>
        <v>354676.51</v>
      </c>
      <c r="G39" s="86"/>
      <c r="I39" s="197"/>
      <c r="J39" s="13"/>
      <c r="K39" s="85"/>
      <c r="L39" s="161"/>
      <c r="M39" s="197"/>
    </row>
    <row r="40" spans="2:18" s="61" customFormat="1" ht="15" customHeight="1">
      <c r="E40" s="82" t="s">
        <v>35</v>
      </c>
      <c r="F40" s="299">
        <f>+E19</f>
        <v>715086.8</v>
      </c>
      <c r="G40" s="86"/>
      <c r="I40" s="214"/>
      <c r="J40" s="13"/>
      <c r="K40" s="87"/>
      <c r="L40" s="161"/>
      <c r="M40" s="197"/>
      <c r="N40" s="272"/>
      <c r="P40" s="273"/>
      <c r="R40" s="273"/>
    </row>
    <row r="41" spans="2:18" s="61" customFormat="1" ht="15" customHeight="1">
      <c r="E41" s="82" t="s">
        <v>36</v>
      </c>
      <c r="F41" s="299">
        <v>0</v>
      </c>
      <c r="G41" s="9"/>
      <c r="I41" s="197"/>
      <c r="J41" s="13"/>
      <c r="M41" s="197"/>
    </row>
    <row r="42" spans="2:18" s="61" customFormat="1" ht="15" customHeight="1">
      <c r="E42" s="82" t="s">
        <v>37</v>
      </c>
      <c r="F42" s="299">
        <v>0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112" t="s">
        <v>38</v>
      </c>
      <c r="F43" s="225">
        <f>SUM(F39:F42)</f>
        <v>1069763.31</v>
      </c>
      <c r="G43" s="9"/>
      <c r="H43" s="163"/>
      <c r="I43" s="229"/>
      <c r="J43" s="13"/>
      <c r="M43" s="197"/>
    </row>
    <row r="44" spans="2:18" s="61" customFormat="1" ht="15" customHeight="1">
      <c r="E44" s="113"/>
      <c r="F44" s="226"/>
      <c r="G44" s="9"/>
      <c r="H44" s="165"/>
      <c r="I44" s="230"/>
      <c r="J44" s="13"/>
      <c r="M44" s="197"/>
      <c r="N44" s="272"/>
      <c r="P44" s="273"/>
      <c r="R44" s="273"/>
    </row>
    <row r="45" spans="2:18" s="61" customFormat="1" ht="15" customHeight="1">
      <c r="E45" s="113" t="s">
        <v>152</v>
      </c>
      <c r="F45" s="226">
        <v>235000</v>
      </c>
      <c r="G45" s="9"/>
      <c r="H45" s="165"/>
      <c r="I45" s="230"/>
      <c r="J45" s="13"/>
      <c r="M45" s="197"/>
      <c r="N45" s="272"/>
      <c r="P45" s="273"/>
      <c r="R45" s="273"/>
    </row>
    <row r="46" spans="2:18" s="61" customFormat="1" ht="15" customHeight="1">
      <c r="E46" s="113" t="s">
        <v>80</v>
      </c>
      <c r="F46" s="226">
        <v>0</v>
      </c>
      <c r="G46" s="9"/>
      <c r="H46" s="165"/>
      <c r="I46" s="230"/>
      <c r="J46" s="13"/>
      <c r="M46" s="197"/>
      <c r="N46" s="272"/>
      <c r="P46" s="273"/>
      <c r="R46" s="273"/>
    </row>
    <row r="47" spans="2:18" s="61" customFormat="1" ht="15" customHeight="1">
      <c r="E47" s="113" t="s">
        <v>81</v>
      </c>
      <c r="F47" s="226">
        <f>+E29</f>
        <v>0</v>
      </c>
      <c r="G47" s="9"/>
      <c r="H47" s="165"/>
      <c r="I47" s="230"/>
      <c r="J47" s="13"/>
      <c r="M47" s="197"/>
      <c r="N47" s="272"/>
      <c r="P47" s="273"/>
      <c r="R47" s="273"/>
    </row>
    <row r="48" spans="2:18" s="61" customFormat="1" ht="15" customHeight="1">
      <c r="E48" s="116" t="s">
        <v>24</v>
      </c>
      <c r="F48" s="307">
        <f>+E30</f>
        <v>47716.11</v>
      </c>
      <c r="G48" s="8"/>
      <c r="H48" s="91"/>
      <c r="I48" s="231"/>
      <c r="J48" s="13"/>
    </row>
    <row r="49" spans="2:13" s="61" customFormat="1" ht="15" customHeight="1">
      <c r="E49" s="116" t="s">
        <v>22</v>
      </c>
      <c r="F49" s="221">
        <v>42000</v>
      </c>
      <c r="G49" s="8"/>
      <c r="H49" s="96"/>
      <c r="I49" s="231"/>
      <c r="J49" s="262"/>
    </row>
    <row r="50" spans="2:13" s="61" customFormat="1">
      <c r="E50" s="116" t="s">
        <v>40</v>
      </c>
      <c r="F50" s="226">
        <f>200000-90000-13000</f>
        <v>97000</v>
      </c>
      <c r="G50" s="82"/>
      <c r="H50" s="83"/>
      <c r="I50" s="228"/>
      <c r="J50" s="13"/>
    </row>
    <row r="51" spans="2:13" s="61" customFormat="1">
      <c r="E51" s="116" t="s">
        <v>69</v>
      </c>
      <c r="F51" s="226">
        <v>60000</v>
      </c>
      <c r="G51" s="82"/>
      <c r="H51" s="83"/>
      <c r="I51" s="228"/>
      <c r="J51" s="13"/>
    </row>
    <row r="52" spans="2:13" s="61" customFormat="1">
      <c r="E52" s="118" t="s">
        <v>41</v>
      </c>
      <c r="F52" s="225">
        <f>SUM(F45:F51)</f>
        <v>481716.11</v>
      </c>
      <c r="G52" s="82"/>
      <c r="H52" s="83"/>
      <c r="I52" s="233"/>
      <c r="J52" s="13"/>
    </row>
    <row r="53" spans="2:13" s="61" customFormat="1">
      <c r="E53" s="118" t="s">
        <v>42</v>
      </c>
      <c r="F53" s="225">
        <f>F43-F52</f>
        <v>588047.20000000007</v>
      </c>
      <c r="G53" s="82"/>
      <c r="H53" s="83"/>
      <c r="I53" s="233"/>
      <c r="J53" s="13"/>
    </row>
    <row r="54" spans="2:13" s="61" customFormat="1">
      <c r="E54" s="82"/>
      <c r="F54" s="80"/>
      <c r="G54" s="82"/>
      <c r="H54" s="83"/>
      <c r="I54" s="233"/>
      <c r="J54" s="13"/>
      <c r="L54" s="91"/>
      <c r="M54" s="232"/>
    </row>
    <row r="55" spans="2:13" s="61" customFormat="1">
      <c r="E55" s="82" t="s">
        <v>43</v>
      </c>
      <c r="F55" s="80">
        <v>0</v>
      </c>
      <c r="G55" s="82"/>
      <c r="H55" s="96"/>
      <c r="I55" s="228"/>
      <c r="J55" s="13"/>
      <c r="L55" s="91"/>
      <c r="M55" s="232"/>
    </row>
    <row r="56" spans="2:13" s="61" customFormat="1">
      <c r="E56" s="82" t="s">
        <v>44</v>
      </c>
      <c r="F56" s="80">
        <v>40000</v>
      </c>
      <c r="G56" s="82"/>
      <c r="H56" s="96"/>
      <c r="I56" s="228"/>
      <c r="J56" s="13"/>
      <c r="L56" s="91"/>
      <c r="M56" s="232"/>
    </row>
    <row r="57" spans="2:13" s="61" customFormat="1">
      <c r="E57" s="82" t="s">
        <v>386</v>
      </c>
      <c r="F57" s="80">
        <v>3866.8</v>
      </c>
      <c r="G57" s="82"/>
      <c r="H57" s="83"/>
      <c r="I57" s="233"/>
      <c r="J57" s="13"/>
      <c r="L57" s="96"/>
      <c r="M57" s="231"/>
    </row>
    <row r="58" spans="2:13" s="61" customFormat="1">
      <c r="E58" s="82" t="s">
        <v>45</v>
      </c>
      <c r="F58" s="117">
        <v>993098.58</v>
      </c>
      <c r="G58" s="8"/>
      <c r="H58" s="96"/>
      <c r="I58" s="219"/>
      <c r="J58" s="13"/>
      <c r="L58" s="96"/>
      <c r="M58" s="233"/>
    </row>
    <row r="59" spans="2:13" s="61" customFormat="1">
      <c r="E59" s="82" t="s">
        <v>205</v>
      </c>
      <c r="F59" s="117">
        <v>496848</v>
      </c>
      <c r="G59" s="8"/>
      <c r="J59" s="13"/>
    </row>
    <row r="60" spans="2:13" s="61" customFormat="1">
      <c r="B60"/>
      <c r="C60"/>
      <c r="D60"/>
      <c r="E60" s="82" t="s">
        <v>206</v>
      </c>
      <c r="F60" s="117">
        <v>0</v>
      </c>
      <c r="G60" s="8"/>
      <c r="J60" s="13"/>
      <c r="L60" s="83"/>
      <c r="M60" s="228"/>
    </row>
    <row r="61" spans="2:13">
      <c r="E61" s="118" t="s">
        <v>46</v>
      </c>
      <c r="F61" s="120">
        <f>SUM(F55:F60)</f>
        <v>1533813.38</v>
      </c>
      <c r="G61" s="8"/>
      <c r="L61" s="61"/>
      <c r="M61" s="61"/>
    </row>
    <row r="62" spans="2:13">
      <c r="E62" s="82"/>
      <c r="F62" s="80"/>
      <c r="G62" s="8"/>
      <c r="L62" s="61"/>
      <c r="M62" s="61"/>
    </row>
    <row r="63" spans="2:13">
      <c r="E63" s="118" t="s">
        <v>47</v>
      </c>
      <c r="F63" s="120">
        <f>F53-F61</f>
        <v>-945766.17999999982</v>
      </c>
      <c r="G63" s="8"/>
    </row>
    <row r="64" spans="2:13">
      <c r="D64" s="247" t="s">
        <v>192</v>
      </c>
      <c r="E64" s="8"/>
      <c r="F64" s="220"/>
      <c r="G64" s="8"/>
    </row>
    <row r="65" spans="1:7">
      <c r="D65" s="247" t="s">
        <v>194</v>
      </c>
      <c r="E65" s="61"/>
      <c r="F65" s="220"/>
      <c r="G65" s="8"/>
    </row>
    <row r="66" spans="1:7">
      <c r="D66" s="8" t="s">
        <v>9</v>
      </c>
      <c r="E66" s="61"/>
      <c r="F66" s="220"/>
      <c r="G66" s="124">
        <f>SUM(E74:F74)</f>
        <v>0</v>
      </c>
    </row>
    <row r="67" spans="1:7">
      <c r="D67" s="8" t="s">
        <v>195</v>
      </c>
      <c r="E67" s="61"/>
      <c r="F67" s="220"/>
      <c r="G67" s="8"/>
    </row>
    <row r="68" spans="1:7">
      <c r="D68" s="8" t="s">
        <v>188</v>
      </c>
      <c r="E68" s="243"/>
      <c r="F68" s="243"/>
      <c r="G68" s="8"/>
    </row>
    <row r="69" spans="1:7">
      <c r="D69" s="8"/>
      <c r="E69" s="243"/>
      <c r="F69" s="244"/>
    </row>
    <row r="70" spans="1:7">
      <c r="E70" s="245"/>
      <c r="F70" s="246"/>
    </row>
    <row r="71" spans="1:7">
      <c r="E71" s="245"/>
      <c r="F71" s="246"/>
    </row>
    <row r="72" spans="1:7">
      <c r="E72" s="249"/>
      <c r="F72" s="287"/>
    </row>
    <row r="73" spans="1:7">
      <c r="E73" s="124"/>
      <c r="F73" s="287"/>
    </row>
    <row r="74" spans="1:7">
      <c r="E74" s="8"/>
    </row>
    <row r="75" spans="1:7">
      <c r="E75" s="8"/>
    </row>
    <row r="76" spans="1:7">
      <c r="A76" s="268"/>
      <c r="E76" s="8"/>
    </row>
    <row r="77" spans="1:7">
      <c r="E77" s="8"/>
    </row>
    <row r="78" spans="1:7">
      <c r="B78" s="235"/>
      <c r="E78" s="8"/>
    </row>
    <row r="79" spans="1:7">
      <c r="E79" s="8"/>
    </row>
    <row r="80" spans="1:7">
      <c r="E80" s="293"/>
    </row>
    <row r="81" spans="1:5">
      <c r="C81" s="155"/>
      <c r="E81" s="8"/>
    </row>
    <row r="82" spans="1:5">
      <c r="A82" s="269"/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93"/>
    </row>
    <row r="111" spans="1:5">
      <c r="C111" s="155"/>
      <c r="E111" s="8"/>
    </row>
    <row r="112" spans="1:5">
      <c r="A112" s="269"/>
      <c r="E112" s="277"/>
    </row>
    <row r="113" spans="1:5">
      <c r="C113" s="155"/>
      <c r="E113" s="79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  <c r="E123" s="79"/>
    </row>
    <row r="124" spans="1:5">
      <c r="A124" s="269"/>
      <c r="E124" s="277"/>
    </row>
    <row r="125" spans="1:5">
      <c r="C125" s="155"/>
    </row>
    <row r="126" spans="1:5">
      <c r="A126" s="269"/>
      <c r="E126" s="155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C199" s="155"/>
    </row>
    <row r="200" spans="1:5">
      <c r="A200" s="269"/>
      <c r="E200" s="155"/>
    </row>
    <row r="201" spans="1:5">
      <c r="D201" s="155"/>
    </row>
    <row r="202" spans="1:5">
      <c r="A202" s="269"/>
      <c r="E202" s="155"/>
    </row>
    <row r="203" spans="1:5">
      <c r="C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5">
      <c r="C209" s="155"/>
    </row>
    <row r="210" spans="1:5">
      <c r="A210" s="269"/>
      <c r="E210" s="155"/>
    </row>
    <row r="211" spans="1:5">
      <c r="C211" s="155"/>
    </row>
    <row r="212" spans="1:5">
      <c r="A212" s="269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75D5A-8A13-4265-8EE6-676B52D59114}">
  <dimension ref="A6:R212"/>
  <sheetViews>
    <sheetView showGridLines="0" topLeftCell="B1" workbookViewId="0">
      <selection activeCell="B1" sqref="A1:XFD1048576"/>
    </sheetView>
  </sheetViews>
  <sheetFormatPr baseColWidth="10" defaultRowHeight="14.5"/>
  <cols>
    <col min="2" max="2" width="32" customWidth="1"/>
    <col min="4" max="4" width="22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3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3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3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3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3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3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  <c r="M11" s="235"/>
    </row>
    <row r="12" spans="1:13" ht="19" thickBot="1">
      <c r="A12" s="1"/>
      <c r="B12" s="331" t="s">
        <v>2</v>
      </c>
      <c r="C12" s="332"/>
      <c r="D12" s="332"/>
      <c r="E12" s="333"/>
      <c r="F12" s="295"/>
      <c r="G12" s="296"/>
      <c r="H12" s="1"/>
      <c r="I12" s="1"/>
      <c r="J12" s="76"/>
      <c r="K12" s="1"/>
    </row>
    <row r="13" spans="1:13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  <c r="M13" s="235"/>
    </row>
    <row r="14" spans="1:13" ht="18" thickBot="1">
      <c r="A14" s="11"/>
      <c r="B14" s="334" t="s">
        <v>3</v>
      </c>
      <c r="C14" s="335"/>
      <c r="D14" s="336"/>
      <c r="E14" s="17">
        <f>SUM(E15:E17)</f>
        <v>576634.26</v>
      </c>
      <c r="F14" s="217"/>
      <c r="G14" s="331" t="s">
        <v>4</v>
      </c>
      <c r="H14" s="332"/>
      <c r="I14" s="332"/>
      <c r="J14" s="332"/>
      <c r="K14" s="333"/>
      <c r="L14" s="13"/>
    </row>
    <row r="15" spans="1:13">
      <c r="A15" s="1"/>
      <c r="B15" s="337" t="s">
        <v>5</v>
      </c>
      <c r="C15" s="338"/>
      <c r="D15" s="339"/>
      <c r="E15" s="20">
        <f>J16+J17+J18+J19</f>
        <v>481555.88</v>
      </c>
      <c r="F15" s="150"/>
      <c r="G15" s="340" t="s">
        <v>6</v>
      </c>
      <c r="H15" s="341"/>
      <c r="I15" s="21"/>
      <c r="J15" s="342" t="s">
        <v>5</v>
      </c>
      <c r="K15" s="343"/>
      <c r="L15" s="13"/>
      <c r="M15" s="235"/>
    </row>
    <row r="16" spans="1:13">
      <c r="A16" s="1"/>
      <c r="B16" s="349" t="s">
        <v>7</v>
      </c>
      <c r="C16" s="350"/>
      <c r="D16" s="351"/>
      <c r="E16" s="20">
        <f>G22+G23</f>
        <v>25164.420000000002</v>
      </c>
      <c r="F16" s="150"/>
      <c r="G16" s="22">
        <v>20027.34</v>
      </c>
      <c r="H16" s="23" t="s">
        <v>8</v>
      </c>
      <c r="I16" s="24"/>
      <c r="J16" s="25">
        <v>46012.84</v>
      </c>
      <c r="K16" s="26" t="s">
        <v>9</v>
      </c>
      <c r="L16" s="19"/>
    </row>
    <row r="17" spans="1:18">
      <c r="A17" s="1"/>
      <c r="B17" s="352" t="s">
        <v>6</v>
      </c>
      <c r="C17" s="353"/>
      <c r="D17" s="354"/>
      <c r="E17" s="28">
        <f>G16+G17+G18</f>
        <v>69913.959999999992</v>
      </c>
      <c r="F17" s="153">
        <f>E15+E16+E17</f>
        <v>576634.26</v>
      </c>
      <c r="G17" s="22">
        <v>25389.98</v>
      </c>
      <c r="H17" s="29" t="s">
        <v>10</v>
      </c>
      <c r="I17" s="30"/>
      <c r="J17" s="25">
        <v>136360.54999999999</v>
      </c>
      <c r="K17" s="31" t="s">
        <v>10</v>
      </c>
      <c r="L17" s="13"/>
    </row>
    <row r="18" spans="1:18">
      <c r="A18" s="1"/>
      <c r="B18" s="236" t="s">
        <v>187</v>
      </c>
      <c r="C18" s="237"/>
      <c r="D18" s="238"/>
      <c r="E18" s="28">
        <f>+J22</f>
        <v>20822.95</v>
      </c>
      <c r="F18" s="153">
        <v>180000</v>
      </c>
      <c r="G18" s="22">
        <v>24496.639999999999</v>
      </c>
      <c r="H18" s="29" t="s">
        <v>12</v>
      </c>
      <c r="I18" s="30"/>
      <c r="J18" s="25">
        <f>683861.59-660000</f>
        <v>23861.589999999967</v>
      </c>
      <c r="K18" s="31" t="s">
        <v>12</v>
      </c>
      <c r="L18" s="13"/>
      <c r="N18" s="3"/>
    </row>
    <row r="19" spans="1:18">
      <c r="B19" s="379" t="s">
        <v>11</v>
      </c>
      <c r="C19" s="380"/>
      <c r="D19" s="381"/>
      <c r="E19" s="20">
        <f>G29+G31+G30+G28</f>
        <v>675088.34</v>
      </c>
      <c r="F19" s="153">
        <f>+F17-F18</f>
        <v>396634.26</v>
      </c>
      <c r="G19" s="33"/>
      <c r="H19" s="34"/>
      <c r="I19" s="30"/>
      <c r="J19" s="25">
        <v>275320.90000000002</v>
      </c>
      <c r="K19" s="31" t="s">
        <v>14</v>
      </c>
      <c r="N19" s="3"/>
    </row>
    <row r="20" spans="1:18">
      <c r="B20" s="344" t="s">
        <v>13</v>
      </c>
      <c r="C20" s="345"/>
      <c r="D20" s="346"/>
      <c r="E20" s="20">
        <v>15839653.35</v>
      </c>
      <c r="F20" s="153"/>
      <c r="G20" s="239"/>
      <c r="H20" s="240"/>
      <c r="I20" s="30"/>
      <c r="J20" s="25"/>
      <c r="K20" s="31"/>
      <c r="L20" s="152"/>
      <c r="N20" s="3"/>
    </row>
    <row r="21" spans="1:18">
      <c r="B21" s="187" t="s">
        <v>15</v>
      </c>
      <c r="C21" s="188"/>
      <c r="D21" s="189"/>
      <c r="E21" s="190">
        <f>SUM(E22:E25)</f>
        <v>104803.97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  <c r="N21" s="268"/>
    </row>
    <row r="22" spans="1:18" ht="15" customHeight="1">
      <c r="B22" s="303"/>
      <c r="C22" s="304"/>
      <c r="D22" s="305" t="s">
        <v>382</v>
      </c>
      <c r="E22" s="190">
        <v>23693.22</v>
      </c>
      <c r="F22" s="153"/>
      <c r="G22" s="44">
        <v>19980.240000000002</v>
      </c>
      <c r="H22" s="29" t="s">
        <v>10</v>
      </c>
      <c r="I22" s="30"/>
      <c r="J22" s="25">
        <v>20822.95</v>
      </c>
      <c r="K22" s="31" t="s">
        <v>188</v>
      </c>
      <c r="L22" s="294"/>
      <c r="M22" s="294"/>
    </row>
    <row r="23" spans="1:18" ht="15" customHeight="1">
      <c r="B23" s="301"/>
      <c r="C23" s="302"/>
      <c r="D23" s="306" t="s">
        <v>382</v>
      </c>
      <c r="E23" s="190">
        <v>81110.75</v>
      </c>
      <c r="F23" s="153"/>
      <c r="G23" s="44">
        <v>5184.18</v>
      </c>
      <c r="H23" s="29" t="s">
        <v>18</v>
      </c>
      <c r="I23" s="30"/>
      <c r="J23" s="25"/>
      <c r="K23" s="31"/>
      <c r="L23" s="294"/>
      <c r="M23" s="294"/>
    </row>
    <row r="24" spans="1:18" ht="15" thickBot="1">
      <c r="B24" s="187"/>
      <c r="C24" s="188"/>
      <c r="D24" s="198"/>
      <c r="E24" s="190">
        <v>0</v>
      </c>
      <c r="F24" s="153"/>
      <c r="G24" s="51"/>
      <c r="H24" s="34"/>
      <c r="I24" s="30"/>
      <c r="J24" s="210"/>
      <c r="K24" s="53"/>
      <c r="L24" s="294"/>
      <c r="M24" s="294"/>
      <c r="O24" s="235"/>
    </row>
    <row r="25" spans="1:18" ht="15" thickBot="1">
      <c r="B25" s="187"/>
      <c r="C25" s="188"/>
      <c r="D25" s="198"/>
      <c r="E25" s="190">
        <v>0</v>
      </c>
      <c r="F25" s="153"/>
      <c r="G25" s="331" t="s">
        <v>21</v>
      </c>
      <c r="H25" s="332"/>
      <c r="I25" s="332"/>
      <c r="J25" s="332"/>
      <c r="K25" s="333"/>
    </row>
    <row r="26" spans="1:18">
      <c r="B26" s="202" t="s">
        <v>17</v>
      </c>
      <c r="C26" s="203"/>
      <c r="D26" s="204"/>
      <c r="E26" s="234">
        <v>20000</v>
      </c>
      <c r="F26" s="220"/>
      <c r="G26" s="54"/>
      <c r="H26" s="55"/>
      <c r="I26" s="56"/>
      <c r="J26" s="211"/>
      <c r="K26" s="58"/>
      <c r="N26" s="290"/>
    </row>
    <row r="27" spans="1:18">
      <c r="B27" s="202" t="s">
        <v>163</v>
      </c>
      <c r="C27" s="203"/>
      <c r="D27" s="204"/>
      <c r="E27" s="234">
        <v>230000</v>
      </c>
      <c r="F27" s="153">
        <f>+F19-E26</f>
        <v>376634.26</v>
      </c>
      <c r="G27" s="377" t="s">
        <v>5</v>
      </c>
      <c r="H27" s="378"/>
      <c r="I27" s="59"/>
      <c r="J27" s="60"/>
      <c r="K27" s="45"/>
      <c r="N27" s="290"/>
      <c r="Q27" s="155"/>
      <c r="R27" s="155"/>
    </row>
    <row r="28" spans="1:18">
      <c r="B28" s="199" t="s">
        <v>22</v>
      </c>
      <c r="C28" s="200"/>
      <c r="D28" s="201"/>
      <c r="E28" s="234">
        <v>0</v>
      </c>
      <c r="F28" s="288">
        <f>SUM(E26:E32)</f>
        <v>250000</v>
      </c>
      <c r="G28" s="22">
        <v>4184.97</v>
      </c>
      <c r="H28" s="62" t="s">
        <v>9</v>
      </c>
      <c r="I28" s="59"/>
      <c r="J28" s="60"/>
      <c r="K28" s="45"/>
      <c r="N28" s="290"/>
      <c r="P28" s="155"/>
      <c r="R28" s="155"/>
    </row>
    <row r="29" spans="1:18">
      <c r="B29" s="199" t="s">
        <v>80</v>
      </c>
      <c r="C29" s="200"/>
      <c r="D29" s="201"/>
      <c r="E29" s="234">
        <v>0</v>
      </c>
      <c r="F29" s="153">
        <f>+F27-F28</f>
        <v>126634.26000000001</v>
      </c>
      <c r="G29" s="22">
        <v>1709.05</v>
      </c>
      <c r="H29" s="62" t="s">
        <v>26</v>
      </c>
      <c r="I29" s="63"/>
      <c r="J29" s="64" t="s">
        <v>27</v>
      </c>
      <c r="K29" s="65" t="s">
        <v>28</v>
      </c>
      <c r="M29" s="291"/>
      <c r="N29" s="292"/>
    </row>
    <row r="30" spans="1:18">
      <c r="B30" s="199" t="s">
        <v>24</v>
      </c>
      <c r="C30" s="200"/>
      <c r="D30" s="201"/>
      <c r="E30" s="49">
        <v>0</v>
      </c>
      <c r="F30" s="221"/>
      <c r="G30" s="67">
        <v>1911.07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1:18" ht="15" thickBot="1">
      <c r="B31" s="344" t="s">
        <v>69</v>
      </c>
      <c r="C31" s="345"/>
      <c r="D31" s="346"/>
      <c r="E31" s="234">
        <v>0</v>
      </c>
      <c r="F31" s="220"/>
      <c r="G31" s="71">
        <f>7283.25+660000</f>
        <v>667283.25</v>
      </c>
      <c r="H31" s="72" t="s">
        <v>12</v>
      </c>
      <c r="I31" s="73"/>
      <c r="J31" s="74" t="s">
        <v>32</v>
      </c>
      <c r="K31" s="75" t="s">
        <v>33</v>
      </c>
    </row>
    <row r="32" spans="1:18" ht="15" thickBot="1">
      <c r="B32" s="363" t="s">
        <v>29</v>
      </c>
      <c r="C32" s="364"/>
      <c r="D32" s="365"/>
      <c r="E32" s="66">
        <v>0</v>
      </c>
      <c r="F32" s="220"/>
      <c r="N32" s="269"/>
      <c r="P32" s="155"/>
      <c r="R32" s="155"/>
    </row>
    <row r="33" spans="2:18">
      <c r="E33" s="61"/>
      <c r="F33" s="219"/>
    </row>
    <row r="34" spans="2:18">
      <c r="E34" s="61"/>
      <c r="F34" s="219"/>
      <c r="H34" s="61"/>
      <c r="I34" s="61"/>
      <c r="J34" s="39"/>
      <c r="K34" s="61"/>
      <c r="N34" s="269"/>
      <c r="P34" s="155"/>
      <c r="R34" s="155"/>
    </row>
    <row r="35" spans="2:18">
      <c r="E35" s="61"/>
      <c r="F35" s="219"/>
      <c r="G35" s="8"/>
      <c r="H35" s="61"/>
      <c r="I35" s="61"/>
      <c r="J35" s="39"/>
      <c r="K35" s="61"/>
    </row>
    <row r="36" spans="2:18">
      <c r="E36" s="8"/>
      <c r="F36" s="220"/>
      <c r="G36" s="8"/>
      <c r="H36" s="13"/>
      <c r="I36" s="61"/>
      <c r="J36" s="13"/>
      <c r="K36" s="83"/>
      <c r="L36" s="61"/>
      <c r="M36" s="61"/>
      <c r="N36" s="269"/>
      <c r="P36" s="155"/>
      <c r="R36" s="155"/>
    </row>
    <row r="37" spans="2:18">
      <c r="B37" s="61"/>
      <c r="C37" s="61"/>
      <c r="D37" s="61"/>
      <c r="E37" s="110" t="s">
        <v>391</v>
      </c>
      <c r="F37" s="299"/>
      <c r="G37" s="181"/>
      <c r="H37" s="161"/>
      <c r="I37" s="197"/>
      <c r="J37" s="13"/>
      <c r="K37" s="83"/>
      <c r="L37" s="61"/>
      <c r="M37" s="61"/>
    </row>
    <row r="38" spans="2:18" s="61" customFormat="1" ht="15" customHeight="1">
      <c r="E38" s="110"/>
      <c r="F38" s="299"/>
      <c r="G38" s="86"/>
      <c r="H38" s="161"/>
      <c r="I38" s="197"/>
      <c r="J38" s="13"/>
      <c r="K38" s="83"/>
      <c r="L38" s="88"/>
      <c r="N38" s="272"/>
      <c r="P38" s="273"/>
      <c r="R38" s="273"/>
    </row>
    <row r="39" spans="2:18" s="61" customFormat="1" ht="15" customHeight="1">
      <c r="E39" s="82" t="s">
        <v>34</v>
      </c>
      <c r="F39" s="299">
        <f>F19</f>
        <v>396634.26</v>
      </c>
      <c r="G39" s="86"/>
      <c r="I39" s="197"/>
      <c r="J39" s="13"/>
      <c r="K39" s="85"/>
      <c r="L39" s="161"/>
      <c r="M39" s="197"/>
    </row>
    <row r="40" spans="2:18" s="61" customFormat="1" ht="15" customHeight="1">
      <c r="E40" s="82" t="s">
        <v>35</v>
      </c>
      <c r="F40" s="299">
        <f>+E19</f>
        <v>675088.34</v>
      </c>
      <c r="G40" s="86"/>
      <c r="I40" s="214"/>
      <c r="J40" s="13"/>
      <c r="K40" s="87"/>
      <c r="L40" s="161"/>
      <c r="M40" s="197"/>
      <c r="N40" s="272"/>
      <c r="P40" s="273"/>
      <c r="R40" s="273"/>
    </row>
    <row r="41" spans="2:18" s="61" customFormat="1" ht="15" customHeight="1">
      <c r="E41" s="82" t="s">
        <v>36</v>
      </c>
      <c r="F41" s="299">
        <v>0</v>
      </c>
      <c r="G41" s="9"/>
      <c r="I41" s="197"/>
      <c r="J41" s="13"/>
      <c r="M41" s="197"/>
    </row>
    <row r="42" spans="2:18" s="61" customFormat="1" ht="15" customHeight="1">
      <c r="E42" s="82" t="s">
        <v>37</v>
      </c>
      <c r="F42" s="299">
        <v>0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112" t="s">
        <v>38</v>
      </c>
      <c r="F43" s="225">
        <f>SUM(F39:F42)</f>
        <v>1071722.6000000001</v>
      </c>
      <c r="G43" s="9"/>
      <c r="H43" s="163"/>
      <c r="I43" s="229"/>
      <c r="J43" s="13"/>
      <c r="M43" s="197"/>
    </row>
    <row r="44" spans="2:18" s="61" customFormat="1" ht="15" customHeight="1">
      <c r="E44" s="113"/>
      <c r="F44" s="226"/>
      <c r="G44" s="9"/>
      <c r="H44" s="165"/>
      <c r="I44" s="230"/>
      <c r="J44" s="13"/>
      <c r="M44" s="197"/>
      <c r="N44" s="272"/>
      <c r="P44" s="273"/>
      <c r="R44" s="273"/>
    </row>
    <row r="45" spans="2:18" s="61" customFormat="1" ht="15" customHeight="1">
      <c r="E45" s="113" t="s">
        <v>152</v>
      </c>
      <c r="F45" s="226">
        <v>230000</v>
      </c>
      <c r="G45" s="9"/>
      <c r="H45" s="165"/>
      <c r="I45" s="230"/>
      <c r="J45" s="13"/>
      <c r="M45" s="197"/>
      <c r="N45" s="272"/>
      <c r="P45" s="273"/>
      <c r="R45" s="273"/>
    </row>
    <row r="46" spans="2:18" s="61" customFormat="1" ht="15" customHeight="1">
      <c r="E46" s="113" t="s">
        <v>80</v>
      </c>
      <c r="F46" s="226">
        <v>0</v>
      </c>
      <c r="G46" s="9"/>
      <c r="H46" s="165"/>
      <c r="I46" s="230"/>
      <c r="J46" s="13"/>
      <c r="M46" s="197"/>
      <c r="N46" s="272"/>
      <c r="P46" s="273"/>
      <c r="R46" s="273"/>
    </row>
    <row r="47" spans="2:18" s="61" customFormat="1" ht="15" customHeight="1">
      <c r="E47" s="113" t="s">
        <v>81</v>
      </c>
      <c r="F47" s="226">
        <f>+E29</f>
        <v>0</v>
      </c>
      <c r="G47" s="9"/>
      <c r="H47" s="165"/>
      <c r="I47" s="230"/>
      <c r="J47" s="13"/>
      <c r="M47" s="197"/>
      <c r="N47" s="272"/>
      <c r="P47" s="273"/>
      <c r="R47" s="273"/>
    </row>
    <row r="48" spans="2:18" s="61" customFormat="1" ht="15" customHeight="1">
      <c r="E48" s="116" t="s">
        <v>24</v>
      </c>
      <c r="F48" s="307">
        <f>+E30</f>
        <v>0</v>
      </c>
      <c r="G48" s="8"/>
      <c r="H48" s="91"/>
      <c r="I48" s="231"/>
      <c r="J48" s="13"/>
    </row>
    <row r="49" spans="2:13" s="61" customFormat="1" ht="15" customHeight="1">
      <c r="E49" s="116" t="s">
        <v>22</v>
      </c>
      <c r="F49" s="221">
        <v>42000</v>
      </c>
      <c r="G49" s="8"/>
      <c r="H49" s="96"/>
      <c r="I49" s="231"/>
      <c r="J49" s="262"/>
    </row>
    <row r="50" spans="2:13" s="61" customFormat="1">
      <c r="E50" s="116" t="s">
        <v>40</v>
      </c>
      <c r="F50" s="226">
        <f>200000-90000-13000-20000</f>
        <v>77000</v>
      </c>
      <c r="G50" s="82"/>
      <c r="H50" s="83"/>
      <c r="I50" s="228"/>
      <c r="J50" s="13"/>
    </row>
    <row r="51" spans="2:13" s="61" customFormat="1">
      <c r="E51" s="116" t="s">
        <v>69</v>
      </c>
      <c r="F51" s="226">
        <v>60000</v>
      </c>
      <c r="G51" s="82"/>
      <c r="H51" s="83"/>
      <c r="I51" s="228"/>
      <c r="J51" s="13"/>
    </row>
    <row r="52" spans="2:13" s="61" customFormat="1">
      <c r="E52" s="118" t="s">
        <v>41</v>
      </c>
      <c r="F52" s="225">
        <f>SUM(F45:F51)</f>
        <v>409000</v>
      </c>
      <c r="G52" s="82"/>
      <c r="H52" s="83"/>
      <c r="I52" s="233"/>
      <c r="J52" s="13"/>
    </row>
    <row r="53" spans="2:13" s="61" customFormat="1">
      <c r="E53" s="118" t="s">
        <v>42</v>
      </c>
      <c r="F53" s="225">
        <f>F43-F52</f>
        <v>662722.60000000009</v>
      </c>
      <c r="G53" s="82"/>
      <c r="H53" s="83"/>
      <c r="I53" s="233"/>
      <c r="J53" s="13"/>
    </row>
    <row r="54" spans="2:13" s="61" customFormat="1">
      <c r="E54" s="82"/>
      <c r="F54" s="80"/>
      <c r="G54" s="82"/>
      <c r="H54" s="83"/>
      <c r="I54" s="233"/>
      <c r="J54" s="13"/>
      <c r="L54" s="91"/>
      <c r="M54" s="232"/>
    </row>
    <row r="55" spans="2:13" s="61" customFormat="1">
      <c r="E55" s="82" t="s">
        <v>43</v>
      </c>
      <c r="F55" s="80">
        <v>0</v>
      </c>
      <c r="G55" s="82"/>
      <c r="H55" s="96"/>
      <c r="I55" s="228"/>
      <c r="J55" s="13"/>
      <c r="L55" s="91"/>
      <c r="M55" s="232"/>
    </row>
    <row r="56" spans="2:13" s="61" customFormat="1">
      <c r="E56" s="82" t="s">
        <v>44</v>
      </c>
      <c r="F56" s="80">
        <v>40000</v>
      </c>
      <c r="G56" s="82"/>
      <c r="H56" s="96"/>
      <c r="I56" s="228"/>
      <c r="J56" s="13"/>
      <c r="L56" s="91"/>
      <c r="M56" s="232"/>
    </row>
    <row r="57" spans="2:13" s="61" customFormat="1">
      <c r="E57" s="82" t="s">
        <v>386</v>
      </c>
      <c r="F57" s="80">
        <v>3866.8</v>
      </c>
      <c r="G57" s="82"/>
      <c r="H57" s="83"/>
      <c r="I57" s="233"/>
      <c r="J57" s="13"/>
      <c r="L57" s="96"/>
      <c r="M57" s="231"/>
    </row>
    <row r="58" spans="2:13" s="61" customFormat="1">
      <c r="E58" s="82" t="s">
        <v>45</v>
      </c>
      <c r="F58" s="117">
        <v>993098.58</v>
      </c>
      <c r="G58" s="8"/>
      <c r="H58" s="96"/>
      <c r="I58" s="219"/>
      <c r="J58" s="13"/>
      <c r="L58" s="96"/>
      <c r="M58" s="233"/>
    </row>
    <row r="59" spans="2:13" s="61" customFormat="1">
      <c r="E59" s="82" t="s">
        <v>205</v>
      </c>
      <c r="F59" s="117">
        <v>496848</v>
      </c>
      <c r="G59" s="8"/>
      <c r="J59" s="13"/>
    </row>
    <row r="60" spans="2:13" s="61" customFormat="1">
      <c r="B60"/>
      <c r="C60"/>
      <c r="D60"/>
      <c r="E60" s="82" t="s">
        <v>206</v>
      </c>
      <c r="F60" s="117">
        <v>0</v>
      </c>
      <c r="G60" s="8"/>
      <c r="J60" s="13"/>
      <c r="L60" s="83"/>
      <c r="M60" s="228"/>
    </row>
    <row r="61" spans="2:13">
      <c r="E61" s="118" t="s">
        <v>46</v>
      </c>
      <c r="F61" s="120">
        <f>SUM(F55:F60)</f>
        <v>1533813.38</v>
      </c>
      <c r="G61" s="8"/>
      <c r="L61" s="61"/>
      <c r="M61" s="61"/>
    </row>
    <row r="62" spans="2:13">
      <c r="E62" s="82"/>
      <c r="F62" s="80"/>
      <c r="G62" s="8"/>
      <c r="L62" s="61"/>
      <c r="M62" s="61"/>
    </row>
    <row r="63" spans="2:13">
      <c r="E63" s="118" t="s">
        <v>47</v>
      </c>
      <c r="F63" s="120">
        <f>F53-F61</f>
        <v>-871090.7799999998</v>
      </c>
      <c r="G63" s="8"/>
    </row>
    <row r="64" spans="2:13">
      <c r="D64" s="247" t="s">
        <v>192</v>
      </c>
      <c r="E64" s="8"/>
      <c r="F64" s="220"/>
      <c r="G64" s="8"/>
    </row>
    <row r="65" spans="1:7">
      <c r="D65" s="247" t="s">
        <v>194</v>
      </c>
      <c r="E65" s="8"/>
      <c r="F65" s="220"/>
      <c r="G65" s="8"/>
    </row>
    <row r="66" spans="1:7">
      <c r="D66" s="8" t="s">
        <v>9</v>
      </c>
      <c r="E66" s="61"/>
      <c r="F66" s="219"/>
      <c r="G66" s="124">
        <f>SUM(E74:F74)</f>
        <v>0</v>
      </c>
    </row>
    <row r="67" spans="1:7">
      <c r="D67" s="8" t="s">
        <v>195</v>
      </c>
      <c r="E67" s="61"/>
      <c r="F67" s="219"/>
      <c r="G67" s="8"/>
    </row>
    <row r="68" spans="1:7">
      <c r="D68" s="8" t="s">
        <v>188</v>
      </c>
      <c r="E68" s="243"/>
      <c r="F68" s="243"/>
      <c r="G68" s="8"/>
    </row>
    <row r="69" spans="1:7">
      <c r="D69" s="8"/>
      <c r="E69" s="243"/>
      <c r="F69" s="244"/>
    </row>
    <row r="70" spans="1:7">
      <c r="E70" s="245"/>
      <c r="F70" s="246"/>
    </row>
    <row r="71" spans="1:7">
      <c r="E71" s="245"/>
      <c r="F71" s="246"/>
    </row>
    <row r="72" spans="1:7">
      <c r="E72" s="249"/>
      <c r="F72" s="287"/>
    </row>
    <row r="73" spans="1:7">
      <c r="E73" s="124"/>
      <c r="F73" s="287"/>
    </row>
    <row r="74" spans="1:7">
      <c r="E74" s="8"/>
    </row>
    <row r="75" spans="1:7">
      <c r="E75" s="8"/>
    </row>
    <row r="76" spans="1:7">
      <c r="A76" s="268"/>
      <c r="E76" s="8"/>
    </row>
    <row r="77" spans="1:7">
      <c r="E77" s="8"/>
    </row>
    <row r="78" spans="1:7">
      <c r="B78" s="235"/>
      <c r="E78" s="8"/>
    </row>
    <row r="79" spans="1:7">
      <c r="E79" s="8"/>
    </row>
    <row r="80" spans="1:7">
      <c r="E80" s="293"/>
    </row>
    <row r="81" spans="1:5">
      <c r="C81" s="155"/>
      <c r="E81" s="8"/>
    </row>
    <row r="82" spans="1:5">
      <c r="A82" s="269"/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93"/>
    </row>
    <row r="111" spans="1:5">
      <c r="C111" s="155"/>
      <c r="E111" s="8"/>
    </row>
    <row r="112" spans="1:5">
      <c r="A112" s="269"/>
      <c r="E112" s="277"/>
    </row>
    <row r="113" spans="1:5">
      <c r="C113" s="155"/>
      <c r="E113" s="79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  <c r="E123" s="79"/>
    </row>
    <row r="124" spans="1:5">
      <c r="A124" s="269"/>
      <c r="E124" s="277"/>
    </row>
    <row r="125" spans="1:5">
      <c r="C125" s="155"/>
    </row>
    <row r="126" spans="1:5">
      <c r="A126" s="269"/>
      <c r="E126" s="155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C199" s="155"/>
    </row>
    <row r="200" spans="1:5">
      <c r="A200" s="269"/>
      <c r="E200" s="155"/>
    </row>
    <row r="201" spans="1:5">
      <c r="D201" s="155"/>
    </row>
    <row r="202" spans="1:5">
      <c r="A202" s="269"/>
      <c r="E202" s="155"/>
    </row>
    <row r="203" spans="1:5">
      <c r="C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5">
      <c r="C209" s="155"/>
    </row>
    <row r="210" spans="1:5">
      <c r="A210" s="269"/>
      <c r="E210" s="155"/>
    </row>
    <row r="211" spans="1:5">
      <c r="C211" s="155"/>
    </row>
    <row r="212" spans="1:5">
      <c r="A212" s="269"/>
    </row>
  </sheetData>
  <mergeCells count="16"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5F130-7557-4E51-BA90-5786611B3BAE}">
  <dimension ref="B6:P61"/>
  <sheetViews>
    <sheetView showGridLines="0" topLeftCell="A5" workbookViewId="0">
      <selection activeCell="J46" sqref="J4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79" customWidth="1"/>
    <col min="7" max="7" width="15.7265625" customWidth="1"/>
    <col min="8" max="8" width="19.7265625" customWidth="1"/>
    <col min="9" max="9" width="1.453125" customWidth="1"/>
    <col min="10" max="10" width="24.26953125" customWidth="1"/>
    <col min="11" max="11" width="22.26953125" bestFit="1" customWidth="1"/>
    <col min="12" max="12" width="20.26953125" bestFit="1" customWidth="1"/>
    <col min="13" max="13" width="16.269531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3" s="8" customFormat="1" ht="18">
      <c r="B6" s="5"/>
      <c r="C6" s="5"/>
      <c r="D6" s="5"/>
      <c r="E6" s="6" t="s">
        <v>0</v>
      </c>
      <c r="F6" s="7"/>
      <c r="G6" s="5"/>
      <c r="H6" s="5"/>
      <c r="I6" s="5"/>
      <c r="J6" s="5"/>
      <c r="K6" s="5"/>
    </row>
    <row r="7" spans="2:13">
      <c r="B7" s="1"/>
      <c r="C7" s="1"/>
      <c r="D7" s="1"/>
      <c r="E7" s="1"/>
      <c r="F7" s="2"/>
      <c r="G7" s="1"/>
      <c r="H7" s="1"/>
      <c r="I7" s="1"/>
      <c r="J7" s="1"/>
      <c r="K7" s="1"/>
    </row>
    <row r="8" spans="2:13">
      <c r="B8" s="1"/>
      <c r="C8" s="1"/>
      <c r="D8" s="1"/>
      <c r="E8" s="1"/>
      <c r="F8" s="2"/>
      <c r="G8" s="1"/>
      <c r="H8" s="1"/>
      <c r="I8" s="4"/>
      <c r="J8" s="1"/>
      <c r="K8" s="76"/>
    </row>
    <row r="9" spans="2:13">
      <c r="B9" s="1"/>
      <c r="C9" s="1"/>
      <c r="D9" s="1"/>
      <c r="E9" s="1"/>
      <c r="F9" s="2"/>
      <c r="G9" s="1"/>
      <c r="H9" s="1"/>
      <c r="I9" s="4"/>
      <c r="J9" s="1"/>
      <c r="K9" s="1"/>
    </row>
    <row r="10" spans="2:13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3" ht="15" thickBot="1">
      <c r="B11" s="1"/>
      <c r="C11" s="1"/>
      <c r="D11" s="1"/>
      <c r="E11" s="1"/>
      <c r="F11" s="2"/>
      <c r="G11" s="1"/>
      <c r="H11" s="1"/>
      <c r="I11" s="1"/>
      <c r="J11" s="1"/>
      <c r="K11" s="1"/>
    </row>
    <row r="12" spans="2:13" ht="18" thickBot="1">
      <c r="B12" s="331" t="s">
        <v>2</v>
      </c>
      <c r="C12" s="332"/>
      <c r="D12" s="332"/>
      <c r="E12" s="333"/>
      <c r="F12" s="12"/>
      <c r="G12" s="1"/>
      <c r="H12" s="1"/>
      <c r="I12" s="1"/>
      <c r="J12" s="1"/>
      <c r="K12" s="1"/>
      <c r="L12" s="13"/>
      <c r="M12" t="s">
        <v>20</v>
      </c>
    </row>
    <row r="13" spans="2:13" ht="18" thickBot="1">
      <c r="B13" s="1"/>
      <c r="C13" s="1"/>
      <c r="D13" s="1"/>
      <c r="E13" s="1"/>
      <c r="F13" s="123"/>
      <c r="G13" s="11"/>
      <c r="H13" s="11"/>
      <c r="I13" s="11"/>
      <c r="J13" s="15"/>
      <c r="K13" s="16"/>
      <c r="L13" s="13"/>
    </row>
    <row r="14" spans="2:13" ht="15" thickBot="1">
      <c r="B14" s="334" t="s">
        <v>3</v>
      </c>
      <c r="C14" s="335"/>
      <c r="D14" s="336"/>
      <c r="E14" s="17">
        <f>SUM(E15:E17)</f>
        <v>1108730.68</v>
      </c>
      <c r="F14" s="143"/>
      <c r="G14" s="331" t="s">
        <v>4</v>
      </c>
      <c r="H14" s="332"/>
      <c r="I14" s="332"/>
      <c r="J14" s="332"/>
      <c r="K14" s="333"/>
      <c r="L14" s="19"/>
    </row>
    <row r="15" spans="2:13">
      <c r="B15" s="337" t="s">
        <v>5</v>
      </c>
      <c r="C15" s="338"/>
      <c r="D15" s="339"/>
      <c r="E15" s="20">
        <f>J16+J17+J18+J19</f>
        <v>1003660.9400000001</v>
      </c>
      <c r="F15" s="108">
        <f>E15+E16+E17</f>
        <v>1108730.68</v>
      </c>
      <c r="G15" s="340" t="s">
        <v>6</v>
      </c>
      <c r="H15" s="341"/>
      <c r="I15" s="21"/>
      <c r="J15" s="342" t="s">
        <v>5</v>
      </c>
      <c r="K15" s="343"/>
      <c r="L15" s="13"/>
    </row>
    <row r="16" spans="2:13">
      <c r="B16" s="349" t="s">
        <v>7</v>
      </c>
      <c r="C16" s="350"/>
      <c r="D16" s="351"/>
      <c r="E16" s="20">
        <f>G21+G22</f>
        <v>60714.55</v>
      </c>
      <c r="F16" s="108">
        <v>90000</v>
      </c>
      <c r="G16" s="22">
        <v>14296.79</v>
      </c>
      <c r="H16" s="23" t="s">
        <v>8</v>
      </c>
      <c r="I16" s="24"/>
      <c r="J16" s="25">
        <v>10275.459999999999</v>
      </c>
      <c r="K16" s="26" t="s">
        <v>9</v>
      </c>
      <c r="L16" s="13"/>
    </row>
    <row r="17" spans="2:14">
      <c r="B17" s="352" t="s">
        <v>6</v>
      </c>
      <c r="C17" s="353"/>
      <c r="D17" s="354"/>
      <c r="E17" s="28">
        <f>G16+G17+G18</f>
        <v>44355.19</v>
      </c>
      <c r="F17" s="108">
        <f>F15-F16</f>
        <v>1018730.6799999999</v>
      </c>
      <c r="G17" s="22">
        <v>14022.22</v>
      </c>
      <c r="H17" s="29" t="s">
        <v>10</v>
      </c>
      <c r="I17" s="30"/>
      <c r="J17" s="25">
        <v>17797.919999999998</v>
      </c>
      <c r="K17" s="31" t="s">
        <v>10</v>
      </c>
      <c r="L17" s="13"/>
    </row>
    <row r="18" spans="2:14">
      <c r="B18" s="355" t="s">
        <v>11</v>
      </c>
      <c r="C18" s="356"/>
      <c r="D18" s="357"/>
      <c r="E18" s="20">
        <f>G28+G30+G29+G27</f>
        <v>5677.4699999999993</v>
      </c>
      <c r="F18" s="109"/>
      <c r="G18" s="22">
        <v>16036.18</v>
      </c>
      <c r="H18" s="29" t="s">
        <v>12</v>
      </c>
      <c r="I18" s="30"/>
      <c r="J18" s="25">
        <v>961590.3</v>
      </c>
      <c r="K18" s="31" t="s">
        <v>12</v>
      </c>
      <c r="L18" s="32"/>
    </row>
    <row r="19" spans="2:14">
      <c r="B19" s="344" t="s">
        <v>13</v>
      </c>
      <c r="C19" s="345"/>
      <c r="D19" s="346"/>
      <c r="E19" s="20">
        <v>13607441.810000001</v>
      </c>
      <c r="F19" s="108"/>
      <c r="G19" s="33"/>
      <c r="H19" s="34"/>
      <c r="I19" s="30"/>
      <c r="J19" s="25">
        <v>13997.26</v>
      </c>
      <c r="K19" s="31" t="s">
        <v>14</v>
      </c>
      <c r="L19" s="13"/>
    </row>
    <row r="20" spans="2:14">
      <c r="B20" s="358" t="s">
        <v>15</v>
      </c>
      <c r="C20" s="359"/>
      <c r="D20" s="360"/>
      <c r="E20" s="35">
        <f>SUM(E21:E22)</f>
        <v>957813.59</v>
      </c>
      <c r="F20" s="14"/>
      <c r="G20" s="361" t="s">
        <v>16</v>
      </c>
      <c r="H20" s="362"/>
      <c r="I20" s="36"/>
      <c r="J20" s="37"/>
      <c r="K20" s="38"/>
      <c r="L20" s="39"/>
    </row>
    <row r="21" spans="2:14">
      <c r="B21" s="40"/>
      <c r="C21" s="41"/>
      <c r="D21" s="122" t="s">
        <v>90</v>
      </c>
      <c r="E21" s="43">
        <v>957813.59</v>
      </c>
      <c r="F21" s="14"/>
      <c r="G21" s="44">
        <v>14063.16</v>
      </c>
      <c r="H21" s="29" t="s">
        <v>10</v>
      </c>
      <c r="I21" s="30"/>
      <c r="J21" s="37"/>
      <c r="K21" s="45"/>
      <c r="L21" s="39"/>
    </row>
    <row r="22" spans="2:14">
      <c r="B22" s="40"/>
      <c r="C22" s="41"/>
      <c r="D22" s="122"/>
      <c r="E22" s="43">
        <v>0</v>
      </c>
      <c r="F22" s="14"/>
      <c r="G22" s="44">
        <v>46651.39</v>
      </c>
      <c r="H22" s="29" t="s">
        <v>18</v>
      </c>
      <c r="I22" s="30"/>
      <c r="J22" s="50"/>
      <c r="K22" s="38"/>
      <c r="L22" s="39"/>
    </row>
    <row r="23" spans="2:14" ht="15" thickBot="1">
      <c r="B23" s="46" t="s">
        <v>17</v>
      </c>
      <c r="C23" s="47"/>
      <c r="D23" s="48"/>
      <c r="E23" s="49">
        <v>69588.490000000005</v>
      </c>
      <c r="F23" s="14"/>
      <c r="G23" s="51"/>
      <c r="H23" s="34"/>
      <c r="I23" s="30"/>
      <c r="J23" s="52"/>
      <c r="K23" s="53"/>
      <c r="L23" s="39"/>
      <c r="N23" t="s">
        <v>20</v>
      </c>
    </row>
    <row r="24" spans="2:14" ht="15" thickBot="1">
      <c r="B24" s="366" t="s">
        <v>89</v>
      </c>
      <c r="C24" s="367"/>
      <c r="D24" s="368"/>
      <c r="E24" s="49">
        <v>0</v>
      </c>
      <c r="F24" s="8"/>
      <c r="G24" s="331" t="s">
        <v>21</v>
      </c>
      <c r="H24" s="332"/>
      <c r="I24" s="332"/>
      <c r="J24" s="332"/>
      <c r="K24" s="333"/>
      <c r="L24" s="39"/>
    </row>
    <row r="25" spans="2:14">
      <c r="B25" s="344" t="s">
        <v>78</v>
      </c>
      <c r="C25" s="345"/>
      <c r="D25" s="346"/>
      <c r="E25" s="49">
        <v>0</v>
      </c>
      <c r="F25" s="8"/>
      <c r="G25" s="54"/>
      <c r="H25" s="55"/>
      <c r="I25" s="56"/>
      <c r="J25" s="57"/>
      <c r="K25" s="58"/>
      <c r="L25" s="39"/>
    </row>
    <row r="26" spans="2:14">
      <c r="B26" s="344" t="s">
        <v>22</v>
      </c>
      <c r="C26" s="345"/>
      <c r="D26" s="346"/>
      <c r="E26" s="49">
        <v>11356.2</v>
      </c>
      <c r="F26" s="8"/>
      <c r="G26" s="347" t="s">
        <v>5</v>
      </c>
      <c r="H26" s="348"/>
      <c r="I26" s="59"/>
      <c r="J26" s="60"/>
      <c r="K26" s="45"/>
      <c r="L26" s="61"/>
    </row>
    <row r="27" spans="2:14">
      <c r="B27" s="344" t="s">
        <v>81</v>
      </c>
      <c r="C27" s="345"/>
      <c r="D27" s="346"/>
      <c r="E27" s="49">
        <f>203650+210739+1177+63585</f>
        <v>479151</v>
      </c>
      <c r="F27" s="14">
        <v>0</v>
      </c>
      <c r="G27" s="22">
        <f>11585.75-11500</f>
        <v>85.75</v>
      </c>
      <c r="H27" s="62" t="s">
        <v>9</v>
      </c>
      <c r="I27" s="59"/>
      <c r="J27" s="60"/>
      <c r="K27" s="45"/>
      <c r="L27" s="61"/>
    </row>
    <row r="28" spans="2:14">
      <c r="B28" s="344" t="s">
        <v>24</v>
      </c>
      <c r="C28" s="345"/>
      <c r="D28" s="346"/>
      <c r="E28" s="49">
        <v>0</v>
      </c>
      <c r="F28" s="14">
        <v>0</v>
      </c>
      <c r="G28" s="22">
        <v>2082.2199999999998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4">
      <c r="B29" s="344" t="s">
        <v>25</v>
      </c>
      <c r="C29" s="345"/>
      <c r="D29" s="346"/>
      <c r="E29" s="49">
        <v>0</v>
      </c>
      <c r="F29" s="14">
        <v>0</v>
      </c>
      <c r="G29" s="67">
        <v>1327.41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4" ht="15" thickBot="1">
      <c r="B30" s="363" t="s">
        <v>29</v>
      </c>
      <c r="C30" s="364"/>
      <c r="D30" s="365"/>
      <c r="E30" s="66">
        <v>370235.36</v>
      </c>
      <c r="F30" s="14">
        <v>0</v>
      </c>
      <c r="G30" s="71">
        <v>2182.09</v>
      </c>
      <c r="H30" s="72" t="s">
        <v>12</v>
      </c>
      <c r="I30" s="73"/>
      <c r="J30" s="74" t="s">
        <v>32</v>
      </c>
      <c r="K30" s="75" t="s">
        <v>33</v>
      </c>
      <c r="L30" s="61"/>
    </row>
    <row r="31" spans="2:14">
      <c r="B31" s="69"/>
      <c r="C31" s="69"/>
      <c r="D31" s="70"/>
      <c r="E31" s="101"/>
      <c r="F31" s="124">
        <f>SUM(F27:F30)</f>
        <v>0</v>
      </c>
      <c r="G31" s="76"/>
      <c r="H31" s="76"/>
      <c r="I31" s="76"/>
      <c r="J31" s="76"/>
      <c r="K31" s="1"/>
      <c r="L31" s="77"/>
    </row>
    <row r="34" spans="5:7">
      <c r="E34" s="110" t="s">
        <v>86</v>
      </c>
      <c r="F34" s="110"/>
    </row>
    <row r="35" spans="5:7">
      <c r="E35" s="110"/>
      <c r="F35" s="110"/>
    </row>
    <row r="36" spans="5:7">
      <c r="E36" s="82" t="s">
        <v>34</v>
      </c>
      <c r="F36" s="86">
        <f>F17</f>
        <v>1018730.6799999999</v>
      </c>
    </row>
    <row r="37" spans="5:7">
      <c r="E37" s="82" t="s">
        <v>35</v>
      </c>
      <c r="F37" s="86">
        <f>+F31</f>
        <v>0</v>
      </c>
    </row>
    <row r="38" spans="5:7" s="61" customFormat="1" ht="15" customHeight="1">
      <c r="E38" s="82" t="s">
        <v>36</v>
      </c>
      <c r="F38" s="86">
        <v>0</v>
      </c>
      <c r="G38" s="8"/>
    </row>
    <row r="39" spans="5:7" s="61" customFormat="1" ht="15" customHeight="1">
      <c r="E39" s="82" t="s">
        <v>37</v>
      </c>
      <c r="F39" s="86">
        <v>0</v>
      </c>
      <c r="G39" s="86"/>
    </row>
    <row r="40" spans="5:7" s="61" customFormat="1" ht="15" customHeight="1">
      <c r="E40" s="112" t="s">
        <v>38</v>
      </c>
      <c r="F40" s="111">
        <f>SUM(F36:F39)</f>
        <v>1018730.6799999999</v>
      </c>
      <c r="G40" s="86"/>
    </row>
    <row r="41" spans="5:7" s="61" customFormat="1" ht="15" customHeight="1">
      <c r="E41" s="113"/>
      <c r="F41" s="94"/>
      <c r="G41" s="86"/>
    </row>
    <row r="42" spans="5:7" s="61" customFormat="1" ht="15" customHeight="1">
      <c r="E42" s="114" t="s">
        <v>65</v>
      </c>
      <c r="F42" s="94">
        <v>0</v>
      </c>
      <c r="G42" s="86"/>
    </row>
    <row r="43" spans="5:7" s="61" customFormat="1" ht="15" customHeight="1">
      <c r="E43" s="114" t="s">
        <v>82</v>
      </c>
      <c r="F43" s="94">
        <v>0</v>
      </c>
      <c r="G43" s="9"/>
    </row>
    <row r="44" spans="5:7" s="61" customFormat="1" ht="15" customHeight="1">
      <c r="E44" s="113" t="s">
        <v>67</v>
      </c>
      <c r="F44" s="94">
        <v>0</v>
      </c>
      <c r="G44" s="9"/>
    </row>
    <row r="45" spans="5:7" s="61" customFormat="1" ht="15" customHeight="1">
      <c r="E45" s="115" t="s">
        <v>68</v>
      </c>
      <c r="F45" s="94">
        <v>0</v>
      </c>
      <c r="G45" s="9"/>
    </row>
    <row r="46" spans="5:7" s="61" customFormat="1" ht="15" customHeight="1">
      <c r="E46" s="116" t="s">
        <v>24</v>
      </c>
      <c r="F46" s="117">
        <v>0</v>
      </c>
      <c r="G46" s="94">
        <v>810000</v>
      </c>
    </row>
    <row r="47" spans="5:7" s="61" customFormat="1" ht="15" customHeight="1">
      <c r="E47" s="116" t="s">
        <v>39</v>
      </c>
      <c r="F47" s="117">
        <v>2000</v>
      </c>
      <c r="G47" s="9"/>
    </row>
    <row r="48" spans="5:7" s="61" customFormat="1" ht="15" customHeight="1">
      <c r="E48" s="116" t="s">
        <v>22</v>
      </c>
      <c r="F48" s="117">
        <v>12000</v>
      </c>
      <c r="G48" s="9"/>
    </row>
    <row r="49" spans="5:7" s="61" customFormat="1" ht="15" customHeight="1">
      <c r="E49" s="116" t="s">
        <v>69</v>
      </c>
      <c r="F49" s="117">
        <v>0</v>
      </c>
      <c r="G49" s="9"/>
    </row>
    <row r="50" spans="5:7" s="61" customFormat="1" ht="15" customHeight="1">
      <c r="E50" s="116" t="s">
        <v>81</v>
      </c>
      <c r="F50" s="117">
        <v>480000</v>
      </c>
      <c r="G50" s="9"/>
    </row>
    <row r="51" spans="5:7" s="61" customFormat="1" ht="15" customHeight="1">
      <c r="E51" s="116" t="s">
        <v>80</v>
      </c>
      <c r="F51" s="117">
        <v>70000</v>
      </c>
      <c r="G51" s="9"/>
    </row>
    <row r="52" spans="5:7" s="61" customFormat="1" ht="15" customHeight="1">
      <c r="E52" s="116" t="s">
        <v>40</v>
      </c>
      <c r="F52" s="94">
        <v>100000</v>
      </c>
      <c r="G52" s="9"/>
    </row>
    <row r="53" spans="5:7" s="61" customFormat="1" ht="15" customHeight="1">
      <c r="E53" s="118" t="s">
        <v>41</v>
      </c>
      <c r="F53" s="119">
        <f>SUM(F42:F52)</f>
        <v>664000</v>
      </c>
      <c r="G53" s="82"/>
    </row>
    <row r="54" spans="5:7" s="61" customFormat="1" ht="15" customHeight="1">
      <c r="E54" s="118" t="s">
        <v>42</v>
      </c>
      <c r="F54" s="119">
        <f>F40-F53</f>
        <v>354730.67999999993</v>
      </c>
      <c r="G54" s="82"/>
    </row>
    <row r="55" spans="5:7" s="61" customFormat="1" ht="15" customHeight="1">
      <c r="E55" s="82"/>
      <c r="F55" s="82"/>
      <c r="G55" s="8"/>
    </row>
    <row r="56" spans="5:7" s="61" customFormat="1">
      <c r="E56" s="82" t="s">
        <v>43</v>
      </c>
      <c r="F56" s="80">
        <f>43800+180000</f>
        <v>223800</v>
      </c>
      <c r="G56" s="8"/>
    </row>
    <row r="57" spans="5:7" s="61" customFormat="1">
      <c r="E57" s="82" t="s">
        <v>44</v>
      </c>
      <c r="F57" s="80">
        <f>100000+350000</f>
        <v>450000</v>
      </c>
      <c r="G57" s="8"/>
    </row>
    <row r="58" spans="5:7" s="61" customFormat="1">
      <c r="E58" s="82" t="s">
        <v>91</v>
      </c>
      <c r="F58" s="117">
        <f>+E30</f>
        <v>370235.36</v>
      </c>
      <c r="G58" s="8"/>
    </row>
    <row r="59" spans="5:7" s="61" customFormat="1">
      <c r="E59" s="118" t="s">
        <v>46</v>
      </c>
      <c r="F59" s="120">
        <f>SUM(F56:F58)</f>
        <v>1044035.36</v>
      </c>
      <c r="G59" s="8"/>
    </row>
    <row r="60" spans="5:7" s="61" customFormat="1">
      <c r="E60" s="82"/>
      <c r="F60" s="82"/>
      <c r="G60" s="8"/>
    </row>
    <row r="61" spans="5:7" s="61" customFormat="1">
      <c r="E61" s="118" t="s">
        <v>47</v>
      </c>
      <c r="F61" s="121">
        <f>F54-F59</f>
        <v>-689304.68</v>
      </c>
      <c r="G61" s="8"/>
    </row>
  </sheetData>
  <mergeCells count="22"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  <mergeCell ref="B28:D28"/>
    <mergeCell ref="B29:D29"/>
    <mergeCell ref="B30:D30"/>
    <mergeCell ref="B24:D24"/>
    <mergeCell ref="G24:K24"/>
    <mergeCell ref="B25:D25"/>
    <mergeCell ref="B26:D26"/>
    <mergeCell ref="G26:H26"/>
    <mergeCell ref="B27:D27"/>
  </mergeCells>
  <pageMargins left="0.7" right="0.7" top="0.75" bottom="0.75" header="0.3" footer="0.3"/>
  <drawing r:id="rId1"/>
  <legacy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E48E5-064B-48F2-81E4-A87450D78CBD}">
  <dimension ref="A6:R214"/>
  <sheetViews>
    <sheetView showGridLines="0" topLeftCell="A35" workbookViewId="0">
      <selection activeCell="A35" sqref="A1:XFD1048576"/>
    </sheetView>
  </sheetViews>
  <sheetFormatPr baseColWidth="10" defaultRowHeight="14.5"/>
  <cols>
    <col min="2" max="2" width="32" customWidth="1"/>
    <col min="4" max="4" width="22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3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3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3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3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3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3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  <c r="M11" s="235"/>
    </row>
    <row r="12" spans="1:13" ht="19" thickBot="1">
      <c r="A12" s="1"/>
      <c r="B12" s="331" t="s">
        <v>2</v>
      </c>
      <c r="C12" s="332"/>
      <c r="D12" s="332"/>
      <c r="E12" s="333"/>
      <c r="F12" s="295"/>
      <c r="G12" s="296"/>
      <c r="H12" s="1"/>
      <c r="I12" s="1"/>
      <c r="J12" s="76"/>
      <c r="K12" s="1"/>
    </row>
    <row r="13" spans="1:13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  <c r="M13" s="235"/>
    </row>
    <row r="14" spans="1:13" ht="18" thickBot="1">
      <c r="A14" s="11"/>
      <c r="B14" s="334" t="s">
        <v>3</v>
      </c>
      <c r="C14" s="335"/>
      <c r="D14" s="336"/>
      <c r="E14" s="17">
        <f>SUM(E15:E17)</f>
        <v>997918.77</v>
      </c>
      <c r="F14" s="264"/>
      <c r="G14" s="331" t="s">
        <v>4</v>
      </c>
      <c r="H14" s="332"/>
      <c r="I14" s="332"/>
      <c r="J14" s="332"/>
      <c r="K14" s="333"/>
      <c r="L14" s="13"/>
    </row>
    <row r="15" spans="1:13">
      <c r="A15" s="1"/>
      <c r="B15" s="337" t="s">
        <v>5</v>
      </c>
      <c r="C15" s="338"/>
      <c r="D15" s="339"/>
      <c r="E15" s="20">
        <f>J16+J17+J18+J19</f>
        <v>870093.48</v>
      </c>
      <c r="F15" s="153"/>
      <c r="G15" s="340" t="s">
        <v>6</v>
      </c>
      <c r="H15" s="341"/>
      <c r="I15" s="21"/>
      <c r="J15" s="342" t="s">
        <v>5</v>
      </c>
      <c r="K15" s="343"/>
      <c r="L15" s="13"/>
      <c r="M15" s="235"/>
    </row>
    <row r="16" spans="1:13">
      <c r="A16" s="1"/>
      <c r="B16" s="349" t="s">
        <v>7</v>
      </c>
      <c r="C16" s="350"/>
      <c r="D16" s="351"/>
      <c r="E16" s="20">
        <f>G22+G23</f>
        <v>25691.620000000003</v>
      </c>
      <c r="F16" s="153"/>
      <c r="G16" s="22">
        <v>20027.34</v>
      </c>
      <c r="H16" s="23" t="s">
        <v>8</v>
      </c>
      <c r="I16" s="24"/>
      <c r="J16" s="25">
        <v>76415.240000000005</v>
      </c>
      <c r="K16" s="26" t="s">
        <v>9</v>
      </c>
      <c r="L16" s="19"/>
    </row>
    <row r="17" spans="1:18">
      <c r="A17" s="1"/>
      <c r="B17" s="352" t="s">
        <v>6</v>
      </c>
      <c r="C17" s="353"/>
      <c r="D17" s="354"/>
      <c r="E17" s="28">
        <f>G16+G17+G18</f>
        <v>102133.66999999998</v>
      </c>
      <c r="F17" s="153">
        <f>E15+E16+E17</f>
        <v>997918.77</v>
      </c>
      <c r="G17" s="22">
        <f>72927.56-40000</f>
        <v>32927.56</v>
      </c>
      <c r="H17" s="29" t="s">
        <v>10</v>
      </c>
      <c r="I17" s="30"/>
      <c r="J17" s="25">
        <v>153335.74</v>
      </c>
      <c r="K17" s="31" t="s">
        <v>10</v>
      </c>
      <c r="L17" s="13"/>
    </row>
    <row r="18" spans="1:18">
      <c r="A18" s="1"/>
      <c r="B18" s="236" t="s">
        <v>187</v>
      </c>
      <c r="C18" s="237"/>
      <c r="D18" s="238"/>
      <c r="E18" s="28">
        <f>+J22</f>
        <v>20822.95</v>
      </c>
      <c r="F18" s="153">
        <v>180000</v>
      </c>
      <c r="G18" s="22">
        <v>49178.77</v>
      </c>
      <c r="H18" s="29" t="s">
        <v>12</v>
      </c>
      <c r="I18" s="30"/>
      <c r="J18" s="25">
        <v>405575.22</v>
      </c>
      <c r="K18" s="31" t="s">
        <v>12</v>
      </c>
      <c r="L18" s="13"/>
      <c r="N18" s="3"/>
    </row>
    <row r="19" spans="1:18">
      <c r="B19" s="379" t="s">
        <v>11</v>
      </c>
      <c r="C19" s="380"/>
      <c r="D19" s="381"/>
      <c r="E19" s="20">
        <f>G29+G31+G30+G28</f>
        <v>15100.58</v>
      </c>
      <c r="F19" s="153">
        <f>+F17-F18</f>
        <v>817918.77</v>
      </c>
      <c r="G19" s="33"/>
      <c r="H19" s="34"/>
      <c r="I19" s="30"/>
      <c r="J19" s="25">
        <v>234767.28</v>
      </c>
      <c r="K19" s="31" t="s">
        <v>14</v>
      </c>
      <c r="N19" s="3"/>
    </row>
    <row r="20" spans="1:18">
      <c r="B20" s="344" t="s">
        <v>13</v>
      </c>
      <c r="C20" s="345"/>
      <c r="D20" s="346"/>
      <c r="E20" s="20">
        <v>14963044.279999999</v>
      </c>
      <c r="F20" s="153"/>
      <c r="G20" s="239"/>
      <c r="H20" s="240"/>
      <c r="I20" s="30"/>
      <c r="J20" s="25"/>
      <c r="K20" s="31"/>
      <c r="L20" s="152"/>
      <c r="N20" s="3"/>
    </row>
    <row r="21" spans="1:18">
      <c r="B21" s="187" t="s">
        <v>15</v>
      </c>
      <c r="C21" s="188"/>
      <c r="D21" s="189"/>
      <c r="E21" s="190">
        <f>SUM(E22:E25)</f>
        <v>71806.95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  <c r="N21" s="268"/>
    </row>
    <row r="22" spans="1:18" ht="15" customHeight="1">
      <c r="B22" s="303"/>
      <c r="C22" s="304"/>
      <c r="D22" s="305" t="s">
        <v>390</v>
      </c>
      <c r="E22" s="190">
        <v>24119.35</v>
      </c>
      <c r="F22" s="153"/>
      <c r="G22" s="44">
        <v>21554.04</v>
      </c>
      <c r="H22" s="29" t="s">
        <v>10</v>
      </c>
      <c r="I22" s="30"/>
      <c r="J22" s="25">
        <v>20822.95</v>
      </c>
      <c r="K22" s="31" t="s">
        <v>188</v>
      </c>
      <c r="L22" s="294"/>
      <c r="M22" s="294"/>
    </row>
    <row r="23" spans="1:18" ht="15" customHeight="1">
      <c r="B23" s="301"/>
      <c r="C23" s="302"/>
      <c r="D23" s="306" t="s">
        <v>147</v>
      </c>
      <c r="E23" s="190">
        <v>47165.599999999999</v>
      </c>
      <c r="F23" s="153"/>
      <c r="G23" s="44">
        <v>4137.58</v>
      </c>
      <c r="H23" s="29" t="s">
        <v>18</v>
      </c>
      <c r="I23" s="30"/>
      <c r="J23" s="25"/>
      <c r="K23" s="31"/>
      <c r="L23" s="294"/>
      <c r="M23" s="294"/>
    </row>
    <row r="24" spans="1:18" ht="15" thickBot="1">
      <c r="B24" s="187"/>
      <c r="C24" s="188"/>
      <c r="D24" s="198" t="s">
        <v>148</v>
      </c>
      <c r="E24" s="190">
        <v>522</v>
      </c>
      <c r="F24" s="153"/>
      <c r="G24" s="51"/>
      <c r="H24" s="34"/>
      <c r="I24" s="30"/>
      <c r="J24" s="210"/>
      <c r="K24" s="53"/>
      <c r="L24" s="294"/>
      <c r="M24" s="294"/>
      <c r="O24" s="235"/>
    </row>
    <row r="25" spans="1:18" ht="15" thickBot="1">
      <c r="B25" s="187"/>
      <c r="C25" s="188"/>
      <c r="D25" s="198"/>
      <c r="E25" s="190">
        <v>0</v>
      </c>
      <c r="F25" s="153"/>
      <c r="G25" s="331" t="s">
        <v>21</v>
      </c>
      <c r="H25" s="332"/>
      <c r="I25" s="332"/>
      <c r="J25" s="332"/>
      <c r="K25" s="333"/>
    </row>
    <row r="26" spans="1:18">
      <c r="B26" s="202" t="s">
        <v>17</v>
      </c>
      <c r="C26" s="203"/>
      <c r="D26" s="204"/>
      <c r="E26" s="234">
        <v>0</v>
      </c>
      <c r="F26" s="220"/>
      <c r="G26" s="54"/>
      <c r="H26" s="55"/>
      <c r="I26" s="56"/>
      <c r="J26" s="211"/>
      <c r="K26" s="58"/>
      <c r="N26" s="290"/>
    </row>
    <row r="27" spans="1:18">
      <c r="B27" s="202" t="s">
        <v>163</v>
      </c>
      <c r="C27" s="203"/>
      <c r="D27" s="204"/>
      <c r="E27" s="234">
        <v>70000</v>
      </c>
      <c r="F27" s="153">
        <f>+F19-E26</f>
        <v>817918.77</v>
      </c>
      <c r="G27" s="377" t="s">
        <v>5</v>
      </c>
      <c r="H27" s="378"/>
      <c r="I27" s="59"/>
      <c r="J27" s="60"/>
      <c r="K27" s="45"/>
      <c r="N27" s="290"/>
      <c r="Q27" s="155"/>
      <c r="R27" s="155"/>
    </row>
    <row r="28" spans="1:18">
      <c r="B28" s="199" t="s">
        <v>22</v>
      </c>
      <c r="C28" s="200"/>
      <c r="D28" s="201"/>
      <c r="E28" s="234">
        <v>0</v>
      </c>
      <c r="F28" s="288">
        <f>SUM(E26:E32)</f>
        <v>70000</v>
      </c>
      <c r="G28" s="22">
        <v>4188.17</v>
      </c>
      <c r="H28" s="62" t="s">
        <v>9</v>
      </c>
      <c r="I28" s="59"/>
      <c r="J28" s="60"/>
      <c r="K28" s="45"/>
      <c r="N28" s="290"/>
      <c r="P28" s="155"/>
      <c r="R28" s="155"/>
    </row>
    <row r="29" spans="1:18">
      <c r="B29" s="199" t="s">
        <v>80</v>
      </c>
      <c r="C29" s="200"/>
      <c r="D29" s="201"/>
      <c r="E29" s="234">
        <v>0</v>
      </c>
      <c r="F29" s="153">
        <f>+F27-F28</f>
        <v>747918.77</v>
      </c>
      <c r="G29" s="22">
        <v>1709.53</v>
      </c>
      <c r="H29" s="62" t="s">
        <v>26</v>
      </c>
      <c r="I29" s="63"/>
      <c r="J29" s="64" t="s">
        <v>27</v>
      </c>
      <c r="K29" s="65" t="s">
        <v>28</v>
      </c>
      <c r="M29" s="291"/>
      <c r="N29" s="292"/>
    </row>
    <row r="30" spans="1:18">
      <c r="B30" s="199" t="s">
        <v>24</v>
      </c>
      <c r="C30" s="200"/>
      <c r="D30" s="201"/>
      <c r="E30" s="49">
        <v>0</v>
      </c>
      <c r="F30" s="221"/>
      <c r="G30" s="67">
        <v>1912.13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1:18" ht="15" thickBot="1">
      <c r="B31" s="344" t="s">
        <v>69</v>
      </c>
      <c r="C31" s="345"/>
      <c r="D31" s="346"/>
      <c r="E31" s="234">
        <v>0</v>
      </c>
      <c r="F31" s="220"/>
      <c r="G31" s="71">
        <v>7290.75</v>
      </c>
      <c r="H31" s="72" t="s">
        <v>12</v>
      </c>
      <c r="I31" s="73"/>
      <c r="J31" s="74" t="s">
        <v>32</v>
      </c>
      <c r="K31" s="75" t="s">
        <v>33</v>
      </c>
    </row>
    <row r="32" spans="1:18" ht="15" thickBot="1">
      <c r="B32" s="363" t="s">
        <v>29</v>
      </c>
      <c r="C32" s="364"/>
      <c r="D32" s="365"/>
      <c r="E32" s="66">
        <v>0</v>
      </c>
      <c r="F32" s="220"/>
      <c r="N32" s="269"/>
      <c r="P32" s="155"/>
      <c r="R32" s="155"/>
    </row>
    <row r="33" spans="2:18">
      <c r="E33" s="61"/>
      <c r="F33" s="219"/>
    </row>
    <row r="34" spans="2:18">
      <c r="E34" s="61"/>
      <c r="F34" s="219"/>
      <c r="H34" s="61"/>
      <c r="I34" s="61"/>
      <c r="J34" s="39"/>
      <c r="K34" s="61"/>
      <c r="N34" s="269"/>
      <c r="P34" s="155"/>
      <c r="R34" s="155"/>
    </row>
    <row r="35" spans="2:18">
      <c r="E35" s="61"/>
      <c r="F35" s="219"/>
      <c r="G35" s="8"/>
      <c r="H35" s="61"/>
      <c r="I35" s="61"/>
      <c r="J35" s="39"/>
      <c r="K35" s="61"/>
    </row>
    <row r="36" spans="2:18">
      <c r="E36" s="61"/>
      <c r="F36" s="219"/>
      <c r="G36" s="8"/>
      <c r="H36" s="13"/>
      <c r="I36" s="61"/>
      <c r="J36" s="13"/>
      <c r="K36" s="83"/>
      <c r="L36" s="61"/>
      <c r="M36" s="61"/>
      <c r="N36" s="269"/>
      <c r="P36" s="155"/>
      <c r="R36" s="155"/>
    </row>
    <row r="37" spans="2:18">
      <c r="B37" s="61"/>
      <c r="C37" s="61"/>
      <c r="D37" s="61"/>
      <c r="E37" s="78" t="s">
        <v>395</v>
      </c>
      <c r="F37" s="297"/>
      <c r="G37" s="181"/>
      <c r="H37" s="161"/>
      <c r="I37" s="197"/>
      <c r="J37" s="13"/>
      <c r="K37" s="83"/>
      <c r="L37" s="61"/>
      <c r="M37" s="61"/>
    </row>
    <row r="38" spans="2:18" s="61" customFormat="1" ht="15" customHeight="1">
      <c r="E38" s="78"/>
      <c r="F38" s="297"/>
      <c r="G38" s="86"/>
      <c r="I38" s="197"/>
      <c r="J38" s="13"/>
      <c r="K38" s="83"/>
      <c r="L38" s="88"/>
      <c r="N38" s="272"/>
      <c r="P38" s="273"/>
      <c r="R38" s="273"/>
    </row>
    <row r="39" spans="2:18" s="61" customFormat="1" ht="15" customHeight="1">
      <c r="E39" s="83" t="s">
        <v>34</v>
      </c>
      <c r="F39" s="297">
        <f>F19</f>
        <v>817918.77</v>
      </c>
      <c r="G39" s="86"/>
      <c r="H39" s="161"/>
      <c r="I39" s="197"/>
      <c r="J39" s="13"/>
      <c r="K39" s="85"/>
      <c r="L39" s="161"/>
      <c r="M39" s="197"/>
    </row>
    <row r="40" spans="2:18" s="61" customFormat="1" ht="15" customHeight="1">
      <c r="E40" s="83" t="s">
        <v>35</v>
      </c>
      <c r="F40" s="297">
        <f>+E19</f>
        <v>15100.58</v>
      </c>
      <c r="G40" s="86"/>
      <c r="I40" s="214"/>
      <c r="J40" s="13"/>
      <c r="K40" s="87"/>
      <c r="L40" s="161"/>
      <c r="M40" s="197"/>
      <c r="N40" s="272"/>
      <c r="P40" s="273"/>
      <c r="R40" s="273"/>
    </row>
    <row r="41" spans="2:18" s="61" customFormat="1" ht="15" customHeight="1">
      <c r="E41" s="83" t="s">
        <v>36</v>
      </c>
      <c r="F41" s="297">
        <v>0</v>
      </c>
      <c r="G41" s="9"/>
      <c r="I41" s="197"/>
      <c r="J41" s="13"/>
      <c r="M41" s="197"/>
    </row>
    <row r="42" spans="2:18" s="61" customFormat="1" ht="15" customHeight="1">
      <c r="E42" s="83" t="s">
        <v>37</v>
      </c>
      <c r="F42" s="297">
        <v>0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85" t="s">
        <v>38</v>
      </c>
      <c r="F43" s="231">
        <f>SUM(F39:F42)</f>
        <v>833019.35</v>
      </c>
      <c r="G43" s="9"/>
      <c r="H43" s="163"/>
      <c r="I43" s="229"/>
      <c r="J43" s="13"/>
      <c r="M43" s="197"/>
    </row>
    <row r="44" spans="2:18" s="61" customFormat="1" ht="15" customHeight="1">
      <c r="E44" s="87"/>
      <c r="F44" s="232"/>
      <c r="G44" s="9"/>
      <c r="H44" s="165"/>
      <c r="I44" s="230"/>
      <c r="J44" s="13"/>
      <c r="M44" s="197"/>
      <c r="N44" s="272"/>
      <c r="P44" s="273"/>
      <c r="R44" s="273"/>
    </row>
    <row r="45" spans="2:18" s="61" customFormat="1" ht="15" customHeight="1">
      <c r="E45" s="87" t="s">
        <v>152</v>
      </c>
      <c r="F45" s="232">
        <v>270000</v>
      </c>
      <c r="G45" s="9"/>
      <c r="H45" s="165"/>
      <c r="I45" s="230"/>
      <c r="J45" s="13"/>
      <c r="M45" s="197"/>
      <c r="N45" s="272"/>
      <c r="P45" s="273"/>
      <c r="R45" s="273"/>
    </row>
    <row r="46" spans="2:18" s="61" customFormat="1" ht="15" customHeight="1">
      <c r="E46" s="87" t="s">
        <v>180</v>
      </c>
      <c r="F46" s="232">
        <v>0</v>
      </c>
      <c r="G46" s="9"/>
      <c r="H46" s="165"/>
      <c r="I46" s="230"/>
      <c r="J46" s="13"/>
      <c r="M46" s="197"/>
      <c r="N46" s="272"/>
      <c r="P46" s="273"/>
      <c r="R46" s="273"/>
    </row>
    <row r="47" spans="2:18" s="61" customFormat="1" ht="15" customHeight="1">
      <c r="E47" s="87" t="s">
        <v>78</v>
      </c>
      <c r="F47" s="232">
        <v>115000</v>
      </c>
      <c r="G47" s="9"/>
      <c r="H47" s="165"/>
      <c r="I47" s="230"/>
      <c r="J47" s="13"/>
      <c r="M47" s="197"/>
      <c r="N47" s="272"/>
      <c r="P47" s="273"/>
      <c r="R47" s="273"/>
    </row>
    <row r="48" spans="2:18" s="61" customFormat="1" ht="15" customHeight="1">
      <c r="E48" s="87" t="s">
        <v>178</v>
      </c>
      <c r="F48" s="232">
        <v>1350000</v>
      </c>
      <c r="G48" s="9"/>
      <c r="H48" s="165"/>
      <c r="I48" s="230"/>
      <c r="J48" s="13"/>
      <c r="M48" s="197"/>
      <c r="N48" s="272"/>
      <c r="P48" s="273"/>
      <c r="R48" s="273"/>
    </row>
    <row r="49" spans="2:18" s="61" customFormat="1" ht="15" customHeight="1">
      <c r="E49" s="87" t="s">
        <v>105</v>
      </c>
      <c r="F49" s="232">
        <v>60000</v>
      </c>
      <c r="G49" s="9"/>
      <c r="H49" s="165"/>
      <c r="I49" s="230"/>
      <c r="J49" s="13"/>
      <c r="M49" s="197"/>
      <c r="N49" s="272"/>
      <c r="P49" s="273"/>
      <c r="R49" s="273"/>
    </row>
    <row r="50" spans="2:18" s="61" customFormat="1" ht="15" customHeight="1">
      <c r="E50" s="91" t="s">
        <v>24</v>
      </c>
      <c r="F50" s="228">
        <f>15000+65000+100000+220000+25000</f>
        <v>425000</v>
      </c>
      <c r="G50" s="8"/>
      <c r="H50" s="91"/>
      <c r="I50" s="231"/>
      <c r="J50" s="13"/>
    </row>
    <row r="51" spans="2:18" s="61" customFormat="1" ht="15" customHeight="1">
      <c r="E51" s="91" t="s">
        <v>22</v>
      </c>
      <c r="F51" s="228">
        <v>50000</v>
      </c>
      <c r="G51" s="8"/>
      <c r="H51" s="96"/>
      <c r="I51" s="231"/>
      <c r="J51" s="262"/>
    </row>
    <row r="52" spans="2:18" s="61" customFormat="1">
      <c r="E52" s="91" t="s">
        <v>40</v>
      </c>
      <c r="F52" s="232">
        <v>150000</v>
      </c>
      <c r="G52" s="82"/>
      <c r="H52" s="83"/>
      <c r="I52" s="228"/>
      <c r="J52" s="13"/>
    </row>
    <row r="53" spans="2:18" s="61" customFormat="1">
      <c r="E53" s="91" t="s">
        <v>69</v>
      </c>
      <c r="F53" s="232">
        <v>120000</v>
      </c>
      <c r="G53" s="82"/>
      <c r="H53" s="83"/>
      <c r="I53" s="228"/>
      <c r="J53" s="13"/>
    </row>
    <row r="54" spans="2:18" s="61" customFormat="1">
      <c r="E54" s="96" t="s">
        <v>41</v>
      </c>
      <c r="F54" s="231">
        <f>SUM(F45:F53)</f>
        <v>2540000</v>
      </c>
      <c r="G54" s="82"/>
      <c r="H54" s="83"/>
      <c r="I54" s="233"/>
      <c r="J54" s="13"/>
    </row>
    <row r="55" spans="2:18" s="61" customFormat="1">
      <c r="E55" s="96" t="s">
        <v>42</v>
      </c>
      <c r="F55" s="231">
        <f>F43-F54</f>
        <v>-1706980.65</v>
      </c>
      <c r="G55" s="82"/>
      <c r="H55" s="83"/>
      <c r="I55" s="233"/>
      <c r="J55" s="13"/>
    </row>
    <row r="56" spans="2:18" s="61" customFormat="1">
      <c r="E56" s="83"/>
      <c r="F56" s="151"/>
      <c r="G56" s="82"/>
      <c r="H56" s="83"/>
      <c r="I56" s="233"/>
      <c r="J56" s="13"/>
      <c r="L56" s="91"/>
      <c r="M56" s="232"/>
    </row>
    <row r="57" spans="2:18" s="61" customFormat="1">
      <c r="E57" s="83" t="s">
        <v>43</v>
      </c>
      <c r="F57" s="151">
        <v>0</v>
      </c>
      <c r="G57" s="82"/>
      <c r="H57" s="96"/>
      <c r="I57" s="228"/>
      <c r="J57" s="13"/>
      <c r="L57" s="91"/>
      <c r="M57" s="232"/>
    </row>
    <row r="58" spans="2:18" s="61" customFormat="1">
      <c r="E58" s="83" t="s">
        <v>44</v>
      </c>
      <c r="F58" s="151">
        <v>0</v>
      </c>
      <c r="G58" s="82"/>
      <c r="H58" s="96"/>
      <c r="I58" s="228"/>
      <c r="J58" s="13"/>
      <c r="L58" s="91"/>
      <c r="M58" s="232"/>
    </row>
    <row r="59" spans="2:18" s="61" customFormat="1">
      <c r="E59" s="83" t="s">
        <v>386</v>
      </c>
      <c r="F59" s="151">
        <v>3866.8</v>
      </c>
      <c r="G59" s="82"/>
      <c r="H59" s="83"/>
      <c r="I59" s="233"/>
      <c r="J59" s="13"/>
      <c r="L59" s="96"/>
      <c r="M59" s="231"/>
    </row>
    <row r="60" spans="2:18" s="61" customFormat="1">
      <c r="E60" s="83" t="s">
        <v>45</v>
      </c>
      <c r="F60" s="95">
        <v>993098.58</v>
      </c>
      <c r="G60" s="8"/>
      <c r="H60" s="96"/>
      <c r="I60" s="219"/>
      <c r="J60" s="13"/>
      <c r="L60" s="96"/>
      <c r="M60" s="233"/>
    </row>
    <row r="61" spans="2:18" s="61" customFormat="1">
      <c r="E61" s="83" t="s">
        <v>205</v>
      </c>
      <c r="F61" s="95">
        <v>0</v>
      </c>
      <c r="G61" s="8"/>
      <c r="J61" s="13"/>
    </row>
    <row r="62" spans="2:18" s="61" customFormat="1">
      <c r="B62"/>
      <c r="C62"/>
      <c r="D62"/>
      <c r="E62" s="83" t="s">
        <v>206</v>
      </c>
      <c r="F62" s="95">
        <v>0</v>
      </c>
      <c r="G62" s="8"/>
      <c r="J62" s="13"/>
      <c r="L62" s="83"/>
      <c r="M62" s="228"/>
    </row>
    <row r="63" spans="2:18">
      <c r="E63" s="96" t="s">
        <v>46</v>
      </c>
      <c r="F63" s="99">
        <f>SUM(F57:F62)</f>
        <v>996965.38</v>
      </c>
      <c r="G63" s="8"/>
      <c r="L63" s="61"/>
      <c r="M63" s="61"/>
    </row>
    <row r="64" spans="2:18">
      <c r="E64" s="83"/>
      <c r="F64" s="151"/>
      <c r="G64" s="8"/>
      <c r="L64" s="61"/>
      <c r="M64" s="61"/>
    </row>
    <row r="65" spans="1:7">
      <c r="E65" s="96" t="s">
        <v>47</v>
      </c>
      <c r="F65" s="99">
        <f>F55-F63</f>
        <v>-2703946.03</v>
      </c>
      <c r="G65" s="8"/>
    </row>
    <row r="66" spans="1:7">
      <c r="D66" s="247" t="s">
        <v>192</v>
      </c>
      <c r="E66" s="61"/>
      <c r="F66" s="219"/>
      <c r="G66" s="8"/>
    </row>
    <row r="67" spans="1:7">
      <c r="D67" s="247" t="s">
        <v>194</v>
      </c>
      <c r="E67" s="61"/>
      <c r="F67" s="219"/>
      <c r="G67" s="8"/>
    </row>
    <row r="68" spans="1:7">
      <c r="D68" s="8" t="s">
        <v>9</v>
      </c>
      <c r="E68" s="61"/>
      <c r="F68" s="219"/>
      <c r="G68" s="124">
        <f>SUM(E76:F76)</f>
        <v>0</v>
      </c>
    </row>
    <row r="69" spans="1:7">
      <c r="D69" s="8" t="s">
        <v>195</v>
      </c>
      <c r="E69" s="61"/>
      <c r="F69" s="219"/>
      <c r="G69" s="8"/>
    </row>
    <row r="70" spans="1:7">
      <c r="D70" s="8" t="s">
        <v>188</v>
      </c>
      <c r="E70" s="243"/>
      <c r="F70" s="243"/>
      <c r="G70" s="8"/>
    </row>
    <row r="71" spans="1:7">
      <c r="D71" s="8"/>
      <c r="E71" s="243"/>
      <c r="F71" s="244"/>
    </row>
    <row r="72" spans="1:7">
      <c r="E72" s="245"/>
      <c r="F72" s="246"/>
    </row>
    <row r="73" spans="1:7">
      <c r="E73" s="245"/>
      <c r="F73" s="246"/>
    </row>
    <row r="74" spans="1:7">
      <c r="E74" s="249"/>
      <c r="F74" s="287"/>
    </row>
    <row r="75" spans="1:7">
      <c r="E75" s="124"/>
      <c r="F75" s="287"/>
    </row>
    <row r="76" spans="1:7">
      <c r="E76" s="8"/>
    </row>
    <row r="77" spans="1:7">
      <c r="E77" s="8"/>
    </row>
    <row r="78" spans="1:7">
      <c r="A78" s="268"/>
      <c r="E78" s="8"/>
    </row>
    <row r="79" spans="1:7">
      <c r="E79" s="8"/>
    </row>
    <row r="80" spans="1:7">
      <c r="B80" s="235"/>
      <c r="E80" s="8"/>
    </row>
    <row r="81" spans="1:5">
      <c r="E81" s="8"/>
    </row>
    <row r="82" spans="1:5"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93"/>
    </row>
    <row r="111" spans="1:5">
      <c r="C111" s="155"/>
      <c r="E111" s="8"/>
    </row>
    <row r="112" spans="1:5">
      <c r="A112" s="269"/>
      <c r="E112" s="293"/>
    </row>
    <row r="113" spans="1:5">
      <c r="C113" s="155"/>
      <c r="E113" s="8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  <c r="E123" s="79"/>
    </row>
    <row r="124" spans="1:5">
      <c r="A124" s="269"/>
      <c r="E124" s="277"/>
    </row>
    <row r="125" spans="1:5">
      <c r="C125" s="155"/>
      <c r="E125" s="79"/>
    </row>
    <row r="126" spans="1:5">
      <c r="A126" s="269"/>
      <c r="E126" s="277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C199" s="155"/>
    </row>
    <row r="200" spans="1:5">
      <c r="A200" s="269"/>
      <c r="E200" s="155"/>
    </row>
    <row r="201" spans="1:5">
      <c r="C201" s="155"/>
    </row>
    <row r="202" spans="1:5">
      <c r="A202" s="269"/>
      <c r="E202" s="155"/>
    </row>
    <row r="203" spans="1:5">
      <c r="D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5">
      <c r="C209" s="155"/>
    </row>
    <row r="210" spans="1:5">
      <c r="A210" s="269"/>
      <c r="E210" s="155"/>
    </row>
    <row r="211" spans="1:5">
      <c r="C211" s="155"/>
    </row>
    <row r="212" spans="1:5">
      <c r="A212" s="269"/>
      <c r="E212" s="155"/>
    </row>
    <row r="213" spans="1:5">
      <c r="C213" s="155"/>
    </row>
    <row r="214" spans="1:5">
      <c r="A214" s="269"/>
    </row>
  </sheetData>
  <mergeCells count="16"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C4081-74D3-4D8A-81D5-B0C5B3E441BA}">
  <dimension ref="A6:R214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22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3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3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3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3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3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3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  <c r="M11" s="235"/>
    </row>
    <row r="12" spans="1:13" ht="19" thickBot="1">
      <c r="A12" s="1"/>
      <c r="B12" s="331" t="s">
        <v>2</v>
      </c>
      <c r="C12" s="332"/>
      <c r="D12" s="332"/>
      <c r="E12" s="333"/>
      <c r="F12" s="295"/>
      <c r="G12" s="296"/>
      <c r="H12" s="1"/>
      <c r="I12" s="1"/>
      <c r="J12" s="76"/>
      <c r="K12" s="1"/>
    </row>
    <row r="13" spans="1:13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  <c r="M13" s="235"/>
    </row>
    <row r="14" spans="1:13" ht="18" thickBot="1">
      <c r="A14" s="11"/>
      <c r="B14" s="334" t="s">
        <v>3</v>
      </c>
      <c r="C14" s="335"/>
      <c r="D14" s="336"/>
      <c r="E14" s="17">
        <f>SUM(E15:E17)</f>
        <v>1069581.75</v>
      </c>
      <c r="F14" s="264"/>
      <c r="G14" s="331" t="s">
        <v>4</v>
      </c>
      <c r="H14" s="332"/>
      <c r="I14" s="332"/>
      <c r="J14" s="332"/>
      <c r="K14" s="333"/>
      <c r="L14" s="13"/>
    </row>
    <row r="15" spans="1:13">
      <c r="A15" s="1"/>
      <c r="B15" s="337" t="s">
        <v>5</v>
      </c>
      <c r="C15" s="338"/>
      <c r="D15" s="339"/>
      <c r="E15" s="20">
        <f>J16+J17+J18+J19</f>
        <v>901765.0199999999</v>
      </c>
      <c r="F15" s="153"/>
      <c r="G15" s="340" t="s">
        <v>6</v>
      </c>
      <c r="H15" s="341"/>
      <c r="I15" s="21"/>
      <c r="J15" s="342" t="s">
        <v>5</v>
      </c>
      <c r="K15" s="343"/>
      <c r="L15" s="13"/>
      <c r="M15" s="235"/>
    </row>
    <row r="16" spans="1:13">
      <c r="A16" s="1"/>
      <c r="B16" s="349" t="s">
        <v>7</v>
      </c>
      <c r="C16" s="350"/>
      <c r="D16" s="351"/>
      <c r="E16" s="20">
        <f>G22+G23</f>
        <v>25691.620000000003</v>
      </c>
      <c r="F16" s="153"/>
      <c r="G16" s="22">
        <v>20027.34</v>
      </c>
      <c r="H16" s="23" t="s">
        <v>8</v>
      </c>
      <c r="I16" s="24"/>
      <c r="J16" s="25">
        <v>76076.52</v>
      </c>
      <c r="K16" s="26" t="s">
        <v>9</v>
      </c>
      <c r="L16" s="19"/>
    </row>
    <row r="17" spans="1:18">
      <c r="A17" s="1"/>
      <c r="B17" s="352" t="s">
        <v>6</v>
      </c>
      <c r="C17" s="353"/>
      <c r="D17" s="354"/>
      <c r="E17" s="28">
        <f>G16+G17+G18</f>
        <v>142125.10999999999</v>
      </c>
      <c r="F17" s="153">
        <f>E15+E16+E17</f>
        <v>1069581.75</v>
      </c>
      <c r="G17" s="22">
        <v>25513.119999999999</v>
      </c>
      <c r="H17" s="29" t="s">
        <v>10</v>
      </c>
      <c r="I17" s="30"/>
      <c r="J17" s="25">
        <v>205004.2</v>
      </c>
      <c r="K17" s="31" t="s">
        <v>10</v>
      </c>
      <c r="L17" s="13"/>
    </row>
    <row r="18" spans="1:18">
      <c r="A18" s="1"/>
      <c r="B18" s="236" t="s">
        <v>187</v>
      </c>
      <c r="C18" s="237"/>
      <c r="D18" s="238"/>
      <c r="E18" s="28">
        <f>+J22</f>
        <v>20822.95</v>
      </c>
      <c r="F18" s="153">
        <v>180000</v>
      </c>
      <c r="G18" s="22">
        <v>96584.65</v>
      </c>
      <c r="H18" s="29" t="s">
        <v>12</v>
      </c>
      <c r="I18" s="30"/>
      <c r="J18" s="25">
        <v>405575.22</v>
      </c>
      <c r="K18" s="31" t="s">
        <v>12</v>
      </c>
      <c r="L18" s="13"/>
      <c r="N18" s="3"/>
    </row>
    <row r="19" spans="1:18">
      <c r="B19" s="379" t="s">
        <v>11</v>
      </c>
      <c r="C19" s="380"/>
      <c r="D19" s="381"/>
      <c r="E19" s="20">
        <f>G29+G31+G30+G28</f>
        <v>15103.76</v>
      </c>
      <c r="F19" s="153">
        <f>+F17-F18</f>
        <v>889581.75</v>
      </c>
      <c r="G19" s="33"/>
      <c r="H19" s="34"/>
      <c r="I19" s="30"/>
      <c r="J19" s="25">
        <v>215109.08</v>
      </c>
      <c r="K19" s="31" t="s">
        <v>14</v>
      </c>
      <c r="N19" s="3"/>
    </row>
    <row r="20" spans="1:18">
      <c r="B20" s="344" t="s">
        <v>13</v>
      </c>
      <c r="C20" s="345"/>
      <c r="D20" s="346"/>
      <c r="E20" s="20">
        <v>14951188.26</v>
      </c>
      <c r="F20" s="153"/>
      <c r="G20" s="239"/>
      <c r="H20" s="240"/>
      <c r="I20" s="30"/>
      <c r="J20" s="25"/>
      <c r="K20" s="31"/>
      <c r="L20" s="152"/>
      <c r="N20" s="3"/>
    </row>
    <row r="21" spans="1:18">
      <c r="B21" s="187" t="s">
        <v>15</v>
      </c>
      <c r="C21" s="188"/>
      <c r="D21" s="189"/>
      <c r="E21" s="190">
        <f>SUM(E22:E25)</f>
        <v>112265.13999999998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  <c r="N21" s="268"/>
    </row>
    <row r="22" spans="1:18" ht="15" customHeight="1">
      <c r="B22" s="303"/>
      <c r="C22" s="304"/>
      <c r="D22" s="308" t="s">
        <v>394</v>
      </c>
      <c r="E22" s="190">
        <v>66003.259999999995</v>
      </c>
      <c r="F22" s="153"/>
      <c r="G22" s="44">
        <v>21554.04</v>
      </c>
      <c r="H22" s="29" t="s">
        <v>10</v>
      </c>
      <c r="I22" s="30"/>
      <c r="J22" s="25">
        <v>20822.95</v>
      </c>
      <c r="K22" s="31" t="s">
        <v>188</v>
      </c>
      <c r="L22" s="294"/>
      <c r="M22" s="294"/>
    </row>
    <row r="23" spans="1:18" ht="15" customHeight="1">
      <c r="B23" s="301"/>
      <c r="C23" s="302"/>
      <c r="D23" s="306" t="s">
        <v>93</v>
      </c>
      <c r="E23" s="190">
        <v>46261.88</v>
      </c>
      <c r="F23" s="153"/>
      <c r="G23" s="44">
        <v>4137.58</v>
      </c>
      <c r="H23" s="29" t="s">
        <v>18</v>
      </c>
      <c r="I23" s="30"/>
      <c r="J23" s="25"/>
      <c r="K23" s="31"/>
      <c r="L23" s="294"/>
      <c r="M23" s="294"/>
    </row>
    <row r="24" spans="1:18" ht="15" thickBot="1">
      <c r="B24" s="187"/>
      <c r="C24" s="188"/>
      <c r="D24" s="198"/>
      <c r="E24" s="190">
        <v>0</v>
      </c>
      <c r="F24" s="153"/>
      <c r="G24" s="51"/>
      <c r="H24" s="34"/>
      <c r="I24" s="30"/>
      <c r="J24" s="210"/>
      <c r="K24" s="53"/>
      <c r="L24" s="294"/>
      <c r="M24" s="294"/>
      <c r="O24" s="235"/>
    </row>
    <row r="25" spans="1:18" ht="15" thickBot="1">
      <c r="B25" s="187"/>
      <c r="C25" s="188"/>
      <c r="D25" s="198"/>
      <c r="E25" s="190">
        <v>0</v>
      </c>
      <c r="F25" s="153"/>
      <c r="G25" s="331" t="s">
        <v>21</v>
      </c>
      <c r="H25" s="332"/>
      <c r="I25" s="332"/>
      <c r="J25" s="332"/>
      <c r="K25" s="333"/>
    </row>
    <row r="26" spans="1:18">
      <c r="B26" s="202" t="s">
        <v>17</v>
      </c>
      <c r="C26" s="203"/>
      <c r="D26" s="204"/>
      <c r="E26" s="234">
        <v>99981.16</v>
      </c>
      <c r="F26" s="220"/>
      <c r="G26" s="54"/>
      <c r="H26" s="55"/>
      <c r="I26" s="56"/>
      <c r="J26" s="211"/>
      <c r="K26" s="58"/>
      <c r="N26" s="290"/>
    </row>
    <row r="27" spans="1:18">
      <c r="B27" s="202" t="s">
        <v>163</v>
      </c>
      <c r="C27" s="203"/>
      <c r="D27" s="204"/>
      <c r="E27" s="234">
        <v>0</v>
      </c>
      <c r="F27" s="153">
        <f>+F19-E26</f>
        <v>789600.59</v>
      </c>
      <c r="G27" s="377" t="s">
        <v>5</v>
      </c>
      <c r="H27" s="378"/>
      <c r="I27" s="59"/>
      <c r="J27" s="60"/>
      <c r="K27" s="45"/>
      <c r="N27" s="290"/>
      <c r="Q27" s="155"/>
      <c r="R27" s="155"/>
    </row>
    <row r="28" spans="1:18">
      <c r="B28" s="199" t="s">
        <v>22</v>
      </c>
      <c r="C28" s="200"/>
      <c r="D28" s="201"/>
      <c r="E28" s="234">
        <v>0</v>
      </c>
      <c r="F28" s="288">
        <f>SUM(E26:E32)</f>
        <v>99981.16</v>
      </c>
      <c r="G28" s="22">
        <v>4190.32</v>
      </c>
      <c r="H28" s="62" t="s">
        <v>9</v>
      </c>
      <c r="I28" s="59"/>
      <c r="J28" s="60"/>
      <c r="K28" s="45"/>
      <c r="N28" s="290"/>
      <c r="P28" s="155"/>
      <c r="R28" s="155"/>
    </row>
    <row r="29" spans="1:18">
      <c r="B29" s="199" t="s">
        <v>80</v>
      </c>
      <c r="C29" s="200"/>
      <c r="D29" s="201"/>
      <c r="E29" s="234">
        <v>0</v>
      </c>
      <c r="F29" s="153">
        <f>+F27-F28</f>
        <v>689619.42999999993</v>
      </c>
      <c r="G29" s="22">
        <v>1709.85</v>
      </c>
      <c r="H29" s="62" t="s">
        <v>26</v>
      </c>
      <c r="I29" s="63"/>
      <c r="J29" s="64" t="s">
        <v>27</v>
      </c>
      <c r="K29" s="65" t="s">
        <v>28</v>
      </c>
      <c r="M29" s="291"/>
      <c r="N29" s="292"/>
    </row>
    <row r="30" spans="1:18">
      <c r="B30" s="199" t="s">
        <v>24</v>
      </c>
      <c r="C30" s="200"/>
      <c r="D30" s="201"/>
      <c r="E30" s="49">
        <v>0</v>
      </c>
      <c r="F30" s="221"/>
      <c r="G30" s="67">
        <v>1912.84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1:18" ht="15" thickBot="1">
      <c r="B31" s="344" t="s">
        <v>69</v>
      </c>
      <c r="C31" s="345"/>
      <c r="D31" s="346"/>
      <c r="E31" s="234">
        <v>0</v>
      </c>
      <c r="F31" s="220"/>
      <c r="G31" s="71">
        <v>7290.75</v>
      </c>
      <c r="H31" s="72" t="s">
        <v>12</v>
      </c>
      <c r="I31" s="73"/>
      <c r="J31" s="74" t="s">
        <v>32</v>
      </c>
      <c r="K31" s="75" t="s">
        <v>33</v>
      </c>
    </row>
    <row r="32" spans="1:18" ht="15" thickBot="1">
      <c r="B32" s="363" t="s">
        <v>29</v>
      </c>
      <c r="C32" s="364"/>
      <c r="D32" s="365"/>
      <c r="E32" s="66">
        <v>0</v>
      </c>
      <c r="F32" s="220"/>
      <c r="N32" s="269"/>
      <c r="P32" s="155"/>
      <c r="R32" s="155"/>
    </row>
    <row r="33" spans="2:18">
      <c r="E33" s="61"/>
      <c r="F33" s="219"/>
    </row>
    <row r="34" spans="2:18">
      <c r="E34" s="61"/>
      <c r="F34" s="219"/>
      <c r="H34" s="61"/>
      <c r="I34" s="61"/>
      <c r="J34" s="39"/>
      <c r="K34" s="61"/>
      <c r="N34" s="269"/>
      <c r="P34" s="155"/>
      <c r="R34" s="155"/>
    </row>
    <row r="35" spans="2:18">
      <c r="E35" s="61"/>
      <c r="F35" s="219"/>
      <c r="G35" s="8"/>
      <c r="H35" s="61"/>
      <c r="I35" s="61"/>
      <c r="J35" s="39"/>
      <c r="K35" s="61"/>
    </row>
    <row r="36" spans="2:18">
      <c r="E36" s="8"/>
      <c r="F36" s="220"/>
      <c r="G36" s="8"/>
      <c r="H36" s="13"/>
      <c r="I36" s="61"/>
      <c r="J36" s="13"/>
      <c r="K36" s="83"/>
      <c r="L36" s="61"/>
      <c r="M36" s="61"/>
      <c r="N36" s="269"/>
      <c r="P36" s="155"/>
      <c r="R36" s="155"/>
    </row>
    <row r="37" spans="2:18">
      <c r="B37" s="61"/>
      <c r="C37" s="61"/>
      <c r="D37" s="61"/>
      <c r="E37" s="110" t="s">
        <v>395</v>
      </c>
      <c r="F37" s="299"/>
      <c r="G37" s="181"/>
      <c r="H37" s="161"/>
      <c r="I37" s="197"/>
      <c r="J37" s="13"/>
      <c r="K37" s="83"/>
      <c r="L37" s="61"/>
      <c r="M37" s="61"/>
    </row>
    <row r="38" spans="2:18" s="61" customFormat="1" ht="15" customHeight="1">
      <c r="E38" s="110"/>
      <c r="F38" s="299"/>
      <c r="G38" s="86"/>
      <c r="I38" s="197"/>
      <c r="J38" s="13"/>
      <c r="K38" s="83"/>
      <c r="L38" s="88"/>
      <c r="N38" s="272"/>
      <c r="P38" s="273"/>
      <c r="R38" s="273"/>
    </row>
    <row r="39" spans="2:18" s="61" customFormat="1" ht="15" customHeight="1">
      <c r="E39" s="82" t="s">
        <v>34</v>
      </c>
      <c r="F39" s="299">
        <f>F19</f>
        <v>889581.75</v>
      </c>
      <c r="G39" s="86"/>
      <c r="H39" s="161"/>
      <c r="I39" s="197"/>
      <c r="J39" s="13"/>
      <c r="K39" s="85"/>
      <c r="L39" s="161"/>
      <c r="M39" s="197"/>
    </row>
    <row r="40" spans="2:18" s="61" customFormat="1" ht="15" customHeight="1">
      <c r="E40" s="82" t="s">
        <v>35</v>
      </c>
      <c r="F40" s="299">
        <f>+E19</f>
        <v>15103.76</v>
      </c>
      <c r="G40" s="86"/>
      <c r="I40" s="214"/>
      <c r="J40" s="13"/>
      <c r="K40" s="87"/>
      <c r="L40" s="161"/>
      <c r="M40" s="197"/>
      <c r="N40" s="272"/>
      <c r="P40" s="273"/>
      <c r="R40" s="273"/>
    </row>
    <row r="41" spans="2:18" s="61" customFormat="1" ht="15" customHeight="1">
      <c r="E41" s="82" t="s">
        <v>36</v>
      </c>
      <c r="F41" s="299">
        <v>0</v>
      </c>
      <c r="G41" s="9"/>
      <c r="I41" s="197"/>
      <c r="J41" s="13"/>
      <c r="M41" s="197"/>
    </row>
    <row r="42" spans="2:18" s="61" customFormat="1" ht="15" customHeight="1">
      <c r="E42" s="82" t="s">
        <v>37</v>
      </c>
      <c r="F42" s="299">
        <v>0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112" t="s">
        <v>38</v>
      </c>
      <c r="F43" s="225">
        <f>SUM(F39:F42)</f>
        <v>904685.51</v>
      </c>
      <c r="G43" s="9"/>
      <c r="H43" s="163"/>
      <c r="I43" s="229"/>
      <c r="J43" s="13"/>
      <c r="M43" s="197"/>
    </row>
    <row r="44" spans="2:18" s="61" customFormat="1" ht="15" customHeight="1">
      <c r="E44" s="113"/>
      <c r="F44" s="226"/>
      <c r="G44" s="9"/>
      <c r="H44" s="165"/>
      <c r="I44" s="230"/>
      <c r="J44" s="13"/>
      <c r="M44" s="197"/>
      <c r="N44" s="272"/>
      <c r="P44" s="273"/>
      <c r="R44" s="273"/>
    </row>
    <row r="45" spans="2:18" s="61" customFormat="1" ht="15" customHeight="1">
      <c r="E45" s="113" t="s">
        <v>152</v>
      </c>
      <c r="F45" s="226">
        <v>270000</v>
      </c>
      <c r="G45" s="9"/>
      <c r="H45" s="165"/>
      <c r="I45" s="230"/>
      <c r="J45" s="13"/>
      <c r="M45" s="197"/>
      <c r="N45" s="272"/>
      <c r="P45" s="273"/>
      <c r="R45" s="273"/>
    </row>
    <row r="46" spans="2:18" s="61" customFormat="1" ht="15" customHeight="1">
      <c r="E46" s="113" t="s">
        <v>180</v>
      </c>
      <c r="F46" s="226">
        <v>0</v>
      </c>
      <c r="G46" s="9"/>
      <c r="H46" s="165"/>
      <c r="I46" s="230"/>
      <c r="J46" s="13"/>
      <c r="M46" s="197"/>
      <c r="N46" s="272"/>
      <c r="P46" s="273"/>
      <c r="R46" s="273"/>
    </row>
    <row r="47" spans="2:18" s="61" customFormat="1" ht="15" customHeight="1">
      <c r="E47" s="113" t="s">
        <v>78</v>
      </c>
      <c r="F47" s="226">
        <v>115000</v>
      </c>
      <c r="G47" s="9"/>
      <c r="H47" s="165"/>
      <c r="I47" s="230"/>
      <c r="J47" s="13"/>
      <c r="M47" s="197"/>
      <c r="N47" s="272"/>
      <c r="P47" s="273"/>
      <c r="R47" s="273"/>
    </row>
    <row r="48" spans="2:18" s="61" customFormat="1" ht="15" customHeight="1">
      <c r="E48" s="113" t="s">
        <v>178</v>
      </c>
      <c r="F48" s="226">
        <v>1350000</v>
      </c>
      <c r="G48" s="9"/>
      <c r="H48" s="165"/>
      <c r="I48" s="230"/>
      <c r="J48" s="13"/>
      <c r="M48" s="197"/>
      <c r="N48" s="272"/>
      <c r="P48" s="273"/>
      <c r="R48" s="273"/>
    </row>
    <row r="49" spans="2:18" s="61" customFormat="1" ht="15" customHeight="1">
      <c r="E49" s="113" t="s">
        <v>105</v>
      </c>
      <c r="F49" s="226">
        <v>60000</v>
      </c>
      <c r="G49" s="9"/>
      <c r="H49" s="165"/>
      <c r="I49" s="230"/>
      <c r="J49" s="13"/>
      <c r="M49" s="197"/>
      <c r="N49" s="272"/>
      <c r="P49" s="273"/>
      <c r="R49" s="273"/>
    </row>
    <row r="50" spans="2:18" s="61" customFormat="1" ht="15" customHeight="1">
      <c r="E50" s="116" t="s">
        <v>24</v>
      </c>
      <c r="F50" s="221">
        <f>15000+65000+100000+220000+25000</f>
        <v>425000</v>
      </c>
      <c r="G50" s="8"/>
      <c r="H50" s="91"/>
      <c r="I50" s="231"/>
      <c r="J50" s="13"/>
    </row>
    <row r="51" spans="2:18" s="61" customFormat="1" ht="15" customHeight="1">
      <c r="E51" s="116" t="s">
        <v>22</v>
      </c>
      <c r="F51" s="221">
        <v>50000</v>
      </c>
      <c r="G51" s="8"/>
      <c r="H51" s="96"/>
      <c r="I51" s="231"/>
      <c r="J51" s="262"/>
    </row>
    <row r="52" spans="2:18" s="61" customFormat="1">
      <c r="E52" s="116" t="s">
        <v>40</v>
      </c>
      <c r="F52" s="226">
        <v>150000</v>
      </c>
      <c r="G52" s="82"/>
      <c r="H52" s="83"/>
      <c r="I52" s="228"/>
      <c r="J52" s="13"/>
    </row>
    <row r="53" spans="2:18" s="61" customFormat="1">
      <c r="E53" s="116" t="s">
        <v>69</v>
      </c>
      <c r="F53" s="226">
        <v>120000</v>
      </c>
      <c r="G53" s="82"/>
      <c r="H53" s="83"/>
      <c r="I53" s="228"/>
      <c r="J53" s="13"/>
    </row>
    <row r="54" spans="2:18" s="61" customFormat="1">
      <c r="E54" s="118" t="s">
        <v>41</v>
      </c>
      <c r="F54" s="225">
        <f>SUM(F45:F53)</f>
        <v>2540000</v>
      </c>
      <c r="G54" s="82"/>
      <c r="H54" s="83"/>
      <c r="I54" s="233"/>
      <c r="J54" s="13"/>
    </row>
    <row r="55" spans="2:18" s="61" customFormat="1">
      <c r="E55" s="118" t="s">
        <v>42</v>
      </c>
      <c r="F55" s="225">
        <f>F43-F54</f>
        <v>-1635314.49</v>
      </c>
      <c r="G55" s="82"/>
      <c r="H55" s="83"/>
      <c r="I55" s="233"/>
      <c r="J55" s="13"/>
    </row>
    <row r="56" spans="2:18" s="61" customFormat="1">
      <c r="E56" s="82"/>
      <c r="F56" s="80"/>
      <c r="G56" s="82"/>
      <c r="H56" s="83"/>
      <c r="I56" s="233"/>
      <c r="J56" s="13"/>
      <c r="L56" s="91"/>
      <c r="M56" s="232"/>
    </row>
    <row r="57" spans="2:18" s="61" customFormat="1">
      <c r="E57" s="82" t="s">
        <v>43</v>
      </c>
      <c r="F57" s="80">
        <v>0</v>
      </c>
      <c r="G57" s="82"/>
      <c r="H57" s="96"/>
      <c r="I57" s="228"/>
      <c r="J57" s="13"/>
      <c r="L57" s="91"/>
      <c r="M57" s="232"/>
    </row>
    <row r="58" spans="2:18" s="61" customFormat="1">
      <c r="E58" s="82" t="s">
        <v>44</v>
      </c>
      <c r="F58" s="80">
        <v>0</v>
      </c>
      <c r="G58" s="82"/>
      <c r="H58" s="96"/>
      <c r="I58" s="228"/>
      <c r="J58" s="13"/>
      <c r="L58" s="91"/>
      <c r="M58" s="232"/>
    </row>
    <row r="59" spans="2:18" s="61" customFormat="1">
      <c r="E59" s="82" t="s">
        <v>386</v>
      </c>
      <c r="F59" s="80">
        <v>3866.8</v>
      </c>
      <c r="G59" s="82"/>
      <c r="H59" s="83"/>
      <c r="I59" s="233"/>
      <c r="J59" s="13"/>
      <c r="L59" s="96"/>
      <c r="M59" s="231"/>
    </row>
    <row r="60" spans="2:18" s="61" customFormat="1">
      <c r="E60" s="82" t="s">
        <v>45</v>
      </c>
      <c r="F60" s="117">
        <v>993098.58</v>
      </c>
      <c r="G60" s="8"/>
      <c r="H60" s="96"/>
      <c r="I60" s="219"/>
      <c r="J60" s="13"/>
      <c r="L60" s="96"/>
      <c r="M60" s="233"/>
    </row>
    <row r="61" spans="2:18" s="61" customFormat="1">
      <c r="E61" s="82" t="s">
        <v>205</v>
      </c>
      <c r="F61" s="117">
        <v>0</v>
      </c>
      <c r="G61" s="8"/>
      <c r="J61" s="13"/>
    </row>
    <row r="62" spans="2:18" s="61" customFormat="1">
      <c r="B62"/>
      <c r="C62"/>
      <c r="D62"/>
      <c r="E62" s="82" t="s">
        <v>206</v>
      </c>
      <c r="F62" s="117">
        <v>0</v>
      </c>
      <c r="G62" s="8"/>
      <c r="J62" s="13"/>
      <c r="L62" s="83"/>
      <c r="M62" s="228"/>
    </row>
    <row r="63" spans="2:18">
      <c r="E63" s="118" t="s">
        <v>46</v>
      </c>
      <c r="F63" s="120">
        <f>SUM(F57:F62)</f>
        <v>996965.38</v>
      </c>
      <c r="G63" s="8"/>
      <c r="L63" s="61"/>
      <c r="M63" s="61"/>
    </row>
    <row r="64" spans="2:18">
      <c r="E64" s="82"/>
      <c r="F64" s="80"/>
      <c r="G64" s="8"/>
      <c r="L64" s="61"/>
      <c r="M64" s="61"/>
    </row>
    <row r="65" spans="1:7">
      <c r="E65" s="118" t="s">
        <v>47</v>
      </c>
      <c r="F65" s="120">
        <f>F55-F63</f>
        <v>-2632279.87</v>
      </c>
      <c r="G65" s="8"/>
    </row>
    <row r="66" spans="1:7">
      <c r="D66" s="247" t="s">
        <v>192</v>
      </c>
      <c r="E66" s="8"/>
      <c r="F66" s="220"/>
      <c r="G66" s="8"/>
    </row>
    <row r="67" spans="1:7">
      <c r="D67" s="247" t="s">
        <v>194</v>
      </c>
      <c r="E67" s="61"/>
      <c r="F67" s="219"/>
      <c r="G67" s="8"/>
    </row>
    <row r="68" spans="1:7">
      <c r="D68" s="8" t="s">
        <v>9</v>
      </c>
      <c r="E68" s="61"/>
      <c r="F68" s="219"/>
      <c r="G68" s="124">
        <f>SUM(E76:F76)</f>
        <v>0</v>
      </c>
    </row>
    <row r="69" spans="1:7">
      <c r="D69" s="8" t="s">
        <v>195</v>
      </c>
      <c r="E69" s="61"/>
      <c r="F69" s="219"/>
      <c r="G69" s="8"/>
    </row>
    <row r="70" spans="1:7">
      <c r="D70" s="8" t="s">
        <v>188</v>
      </c>
      <c r="E70" s="243"/>
      <c r="F70" s="243"/>
      <c r="G70" s="8"/>
    </row>
    <row r="71" spans="1:7">
      <c r="D71" s="8"/>
      <c r="E71" s="243"/>
      <c r="F71" s="244"/>
    </row>
    <row r="72" spans="1:7">
      <c r="E72" s="245"/>
      <c r="F72" s="246"/>
    </row>
    <row r="73" spans="1:7">
      <c r="E73" s="245"/>
      <c r="F73" s="246"/>
    </row>
    <row r="74" spans="1:7">
      <c r="E74" s="249"/>
      <c r="F74" s="287"/>
    </row>
    <row r="75" spans="1:7">
      <c r="E75" s="124"/>
      <c r="F75" s="287"/>
    </row>
    <row r="76" spans="1:7">
      <c r="E76" s="8"/>
    </row>
    <row r="77" spans="1:7">
      <c r="E77" s="8"/>
    </row>
    <row r="78" spans="1:7">
      <c r="A78" s="268"/>
      <c r="E78" s="8"/>
    </row>
    <row r="79" spans="1:7">
      <c r="E79" s="8"/>
    </row>
    <row r="80" spans="1:7">
      <c r="B80" s="235"/>
      <c r="E80" s="8"/>
    </row>
    <row r="81" spans="1:5">
      <c r="E81" s="8"/>
    </row>
    <row r="82" spans="1:5"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93"/>
    </row>
    <row r="111" spans="1:5">
      <c r="C111" s="155"/>
      <c r="E111" s="8"/>
    </row>
    <row r="112" spans="1:5">
      <c r="A112" s="269"/>
      <c r="E112" s="293"/>
    </row>
    <row r="113" spans="1:5">
      <c r="C113" s="155"/>
      <c r="E113" s="8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  <c r="E123" s="79"/>
    </row>
    <row r="124" spans="1:5">
      <c r="A124" s="269"/>
      <c r="E124" s="277"/>
    </row>
    <row r="125" spans="1:5">
      <c r="C125" s="155"/>
      <c r="E125" s="79"/>
    </row>
    <row r="126" spans="1:5">
      <c r="A126" s="269"/>
      <c r="E126" s="277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C199" s="155"/>
    </row>
    <row r="200" spans="1:5">
      <c r="A200" s="269"/>
      <c r="E200" s="155"/>
    </row>
    <row r="201" spans="1:5">
      <c r="C201" s="155"/>
    </row>
    <row r="202" spans="1:5">
      <c r="A202" s="269"/>
      <c r="E202" s="155"/>
    </row>
    <row r="203" spans="1:5">
      <c r="D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5">
      <c r="C209" s="155"/>
    </row>
    <row r="210" spans="1:5">
      <c r="A210" s="269"/>
      <c r="E210" s="155"/>
    </row>
    <row r="211" spans="1:5">
      <c r="C211" s="155"/>
    </row>
    <row r="212" spans="1:5">
      <c r="A212" s="269"/>
      <c r="E212" s="155"/>
    </row>
    <row r="213" spans="1:5">
      <c r="C213" s="155"/>
    </row>
    <row r="214" spans="1:5">
      <c r="A214" s="269"/>
    </row>
  </sheetData>
  <mergeCells count="16"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E42D7-FC77-4BCA-9B44-99B19A7DC901}">
  <dimension ref="A6:R214"/>
  <sheetViews>
    <sheetView showGridLines="0" workbookViewId="0">
      <selection sqref="A1:XFD1048576"/>
    </sheetView>
  </sheetViews>
  <sheetFormatPr baseColWidth="10" defaultRowHeight="14.5"/>
  <cols>
    <col min="2" max="2" width="16.54296875" customWidth="1"/>
    <col min="4" max="4" width="22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3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3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3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3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3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3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  <c r="M11" s="235"/>
    </row>
    <row r="12" spans="1:13" ht="19" thickBot="1">
      <c r="A12" s="1"/>
      <c r="B12" s="331" t="s">
        <v>2</v>
      </c>
      <c r="C12" s="332"/>
      <c r="D12" s="332"/>
      <c r="E12" s="333"/>
      <c r="F12" s="295"/>
      <c r="G12" s="296"/>
      <c r="H12" s="1"/>
      <c r="I12" s="1"/>
      <c r="J12" s="76"/>
      <c r="K12" s="1"/>
    </row>
    <row r="13" spans="1:13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  <c r="M13" s="235"/>
    </row>
    <row r="14" spans="1:13" ht="18" thickBot="1">
      <c r="A14" s="11"/>
      <c r="B14" s="334" t="s">
        <v>3</v>
      </c>
      <c r="C14" s="335"/>
      <c r="D14" s="336"/>
      <c r="E14" s="17">
        <f>SUM(E15:E17)</f>
        <v>1670484.31</v>
      </c>
      <c r="F14" s="264"/>
      <c r="G14" s="331" t="s">
        <v>4</v>
      </c>
      <c r="H14" s="332"/>
      <c r="I14" s="332"/>
      <c r="J14" s="332"/>
      <c r="K14" s="333"/>
      <c r="L14" s="13"/>
    </row>
    <row r="15" spans="1:13">
      <c r="A15" s="1"/>
      <c r="B15" s="337" t="s">
        <v>5</v>
      </c>
      <c r="C15" s="338"/>
      <c r="D15" s="339"/>
      <c r="E15" s="20">
        <f>J16+J17+J18+J19</f>
        <v>1518707.24</v>
      </c>
      <c r="F15" s="153"/>
      <c r="G15" s="340" t="s">
        <v>6</v>
      </c>
      <c r="H15" s="341"/>
      <c r="I15" s="21"/>
      <c r="J15" s="342" t="s">
        <v>5</v>
      </c>
      <c r="K15" s="343"/>
      <c r="L15" s="13"/>
      <c r="M15" s="235"/>
    </row>
    <row r="16" spans="1:13">
      <c r="A16" s="1"/>
      <c r="B16" s="349" t="s">
        <v>7</v>
      </c>
      <c r="C16" s="350"/>
      <c r="D16" s="351"/>
      <c r="E16" s="20">
        <f>G22+G23</f>
        <v>25691.620000000003</v>
      </c>
      <c r="F16" s="153"/>
      <c r="G16" s="22">
        <v>19956.14</v>
      </c>
      <c r="H16" s="23" t="s">
        <v>8</v>
      </c>
      <c r="I16" s="24"/>
      <c r="J16" s="25">
        <v>76076.52</v>
      </c>
      <c r="K16" s="26" t="s">
        <v>9</v>
      </c>
      <c r="L16" s="19"/>
    </row>
    <row r="17" spans="1:18">
      <c r="A17" s="1"/>
      <c r="B17" s="352" t="s">
        <v>6</v>
      </c>
      <c r="C17" s="353"/>
      <c r="D17" s="354"/>
      <c r="E17" s="28">
        <f>G16+G17+G18</f>
        <v>126085.45000000001</v>
      </c>
      <c r="F17" s="153">
        <f>E15+E16+E17</f>
        <v>1670484.31</v>
      </c>
      <c r="G17" s="22">
        <v>40193.480000000003</v>
      </c>
      <c r="H17" s="29" t="s">
        <v>10</v>
      </c>
      <c r="I17" s="30"/>
      <c r="J17" s="25">
        <v>332878.45</v>
      </c>
      <c r="K17" s="31" t="s">
        <v>10</v>
      </c>
      <c r="L17" s="13"/>
    </row>
    <row r="18" spans="1:18">
      <c r="A18" s="1"/>
      <c r="B18" s="236" t="s">
        <v>187</v>
      </c>
      <c r="C18" s="237"/>
      <c r="D18" s="238"/>
      <c r="E18" s="28">
        <f>+J22</f>
        <v>20822.95</v>
      </c>
      <c r="F18" s="153">
        <v>180000</v>
      </c>
      <c r="G18" s="22">
        <v>65935.83</v>
      </c>
      <c r="H18" s="29" t="s">
        <v>12</v>
      </c>
      <c r="I18" s="30"/>
      <c r="J18" s="25">
        <v>618517.53</v>
      </c>
      <c r="K18" s="31" t="s">
        <v>12</v>
      </c>
      <c r="L18" s="13"/>
      <c r="N18" s="3"/>
    </row>
    <row r="19" spans="1:18">
      <c r="B19" s="379" t="s">
        <v>11</v>
      </c>
      <c r="C19" s="380"/>
      <c r="D19" s="381"/>
      <c r="E19" s="20">
        <f>G29+G31+G30+G28</f>
        <v>15110.02</v>
      </c>
      <c r="F19" s="153">
        <f>+F17-F18</f>
        <v>1490484.31</v>
      </c>
      <c r="G19" s="33"/>
      <c r="H19" s="34"/>
      <c r="I19" s="30"/>
      <c r="J19" s="25">
        <v>491234.74</v>
      </c>
      <c r="K19" s="31" t="s">
        <v>14</v>
      </c>
      <c r="N19" s="3"/>
    </row>
    <row r="20" spans="1:18">
      <c r="B20" s="344" t="s">
        <v>13</v>
      </c>
      <c r="C20" s="345"/>
      <c r="D20" s="346"/>
      <c r="E20" s="20">
        <v>14444839.279999999</v>
      </c>
      <c r="F20" s="153"/>
      <c r="G20" s="239"/>
      <c r="H20" s="240"/>
      <c r="I20" s="30"/>
      <c r="J20" s="25"/>
      <c r="K20" s="31"/>
      <c r="L20" s="152"/>
      <c r="N20" s="3"/>
    </row>
    <row r="21" spans="1:18">
      <c r="B21" s="187" t="s">
        <v>15</v>
      </c>
      <c r="C21" s="188"/>
      <c r="D21" s="189"/>
      <c r="E21" s="190">
        <f>SUM(E22:E25)</f>
        <v>696942.22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  <c r="N21" s="268"/>
    </row>
    <row r="22" spans="1:18" ht="15" customHeight="1">
      <c r="B22" s="303"/>
      <c r="C22" s="304"/>
      <c r="D22" s="308" t="s">
        <v>382</v>
      </c>
      <c r="E22" s="190">
        <v>207874.25</v>
      </c>
      <c r="F22" s="153"/>
      <c r="G22" s="44">
        <v>21554.04</v>
      </c>
      <c r="H22" s="29" t="s">
        <v>10</v>
      </c>
      <c r="I22" s="30"/>
      <c r="J22" s="25">
        <v>20822.95</v>
      </c>
      <c r="K22" s="31" t="s">
        <v>188</v>
      </c>
      <c r="L22" s="294"/>
      <c r="M22" s="294"/>
    </row>
    <row r="23" spans="1:18" ht="15" customHeight="1">
      <c r="B23" s="301"/>
      <c r="C23" s="302"/>
      <c r="D23" s="306" t="s">
        <v>382</v>
      </c>
      <c r="E23" s="190">
        <v>205634.31</v>
      </c>
      <c r="F23" s="153"/>
      <c r="G23" s="44">
        <v>4137.58</v>
      </c>
      <c r="H23" s="29" t="s">
        <v>18</v>
      </c>
      <c r="I23" s="30"/>
      <c r="J23" s="25"/>
      <c r="K23" s="31"/>
      <c r="L23" s="294"/>
      <c r="M23" s="294"/>
    </row>
    <row r="24" spans="1:18" ht="15" thickBot="1">
      <c r="B24" s="187"/>
      <c r="C24" s="188"/>
      <c r="D24" s="198" t="s">
        <v>396</v>
      </c>
      <c r="E24" s="190">
        <v>7308</v>
      </c>
      <c r="F24" s="153"/>
      <c r="G24" s="51"/>
      <c r="H24" s="34"/>
      <c r="I24" s="30"/>
      <c r="J24" s="210"/>
      <c r="K24" s="53"/>
      <c r="L24" s="294"/>
      <c r="M24" s="294"/>
      <c r="O24" s="235"/>
    </row>
    <row r="25" spans="1:18" ht="15" thickBot="1">
      <c r="B25" s="187"/>
      <c r="C25" s="188"/>
      <c r="D25" s="198" t="s">
        <v>382</v>
      </c>
      <c r="E25" s="190">
        <v>276125.65999999997</v>
      </c>
      <c r="F25" s="153"/>
      <c r="G25" s="331" t="s">
        <v>21</v>
      </c>
      <c r="H25" s="332"/>
      <c r="I25" s="332"/>
      <c r="J25" s="332"/>
      <c r="K25" s="333"/>
    </row>
    <row r="26" spans="1:18">
      <c r="B26" s="202" t="s">
        <v>17</v>
      </c>
      <c r="C26" s="203"/>
      <c r="D26" s="204"/>
      <c r="E26" s="234">
        <v>0</v>
      </c>
      <c r="F26" s="220"/>
      <c r="G26" s="54"/>
      <c r="H26" s="55"/>
      <c r="I26" s="56"/>
      <c r="J26" s="211"/>
      <c r="K26" s="58"/>
      <c r="N26" s="290"/>
    </row>
    <row r="27" spans="1:18">
      <c r="B27" s="202" t="s">
        <v>163</v>
      </c>
      <c r="C27" s="203"/>
      <c r="D27" s="204"/>
      <c r="E27" s="234">
        <f>1350000+115000</f>
        <v>1465000</v>
      </c>
      <c r="F27" s="153">
        <f>+F19-E26</f>
        <v>1490484.31</v>
      </c>
      <c r="G27" s="377" t="s">
        <v>5</v>
      </c>
      <c r="H27" s="378"/>
      <c r="I27" s="59"/>
      <c r="J27" s="60"/>
      <c r="K27" s="45"/>
      <c r="N27" s="290"/>
      <c r="Q27" s="155"/>
      <c r="R27" s="155"/>
    </row>
    <row r="28" spans="1:18">
      <c r="B28" s="199" t="s">
        <v>22</v>
      </c>
      <c r="C28" s="200"/>
      <c r="D28" s="201"/>
      <c r="E28" s="234">
        <v>5153.6000000000004</v>
      </c>
      <c r="F28" s="288">
        <f>SUM(E26:E32)</f>
        <v>1886730.3220542001</v>
      </c>
      <c r="G28" s="22">
        <v>4190.32</v>
      </c>
      <c r="H28" s="62" t="s">
        <v>9</v>
      </c>
      <c r="I28" s="59"/>
      <c r="J28" s="60"/>
      <c r="K28" s="45"/>
      <c r="N28" s="290"/>
      <c r="P28" s="155"/>
      <c r="R28" s="155"/>
    </row>
    <row r="29" spans="1:18">
      <c r="B29" s="199" t="s">
        <v>64</v>
      </c>
      <c r="C29" s="200"/>
      <c r="D29" s="201"/>
      <c r="E29" s="234">
        <v>4500</v>
      </c>
      <c r="F29" s="153">
        <f>+F27-F28</f>
        <v>-396246.01205420005</v>
      </c>
      <c r="G29" s="22">
        <v>1710.01</v>
      </c>
      <c r="H29" s="62" t="s">
        <v>26</v>
      </c>
      <c r="I29" s="63"/>
      <c r="J29" s="64" t="s">
        <v>27</v>
      </c>
      <c r="K29" s="65" t="s">
        <v>28</v>
      </c>
      <c r="M29" s="291"/>
      <c r="N29" s="292"/>
    </row>
    <row r="30" spans="1:18">
      <c r="B30" s="199" t="s">
        <v>24</v>
      </c>
      <c r="C30" s="200"/>
      <c r="D30" s="201"/>
      <c r="E30" s="49">
        <v>361977.97</v>
      </c>
      <c r="F30" s="221"/>
      <c r="G30" s="67">
        <v>1913.2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1:18" ht="15" thickBot="1">
      <c r="B31" s="344" t="s">
        <v>105</v>
      </c>
      <c r="C31" s="345"/>
      <c r="D31" s="346"/>
      <c r="E31" s="234">
        <v>50098.752054200013</v>
      </c>
      <c r="F31" s="220"/>
      <c r="G31" s="71">
        <v>7296.49</v>
      </c>
      <c r="H31" s="72" t="s">
        <v>12</v>
      </c>
      <c r="I31" s="73"/>
      <c r="J31" s="74" t="s">
        <v>32</v>
      </c>
      <c r="K31" s="75" t="s">
        <v>33</v>
      </c>
    </row>
    <row r="32" spans="1:18" ht="15" thickBot="1">
      <c r="B32" s="363" t="s">
        <v>29</v>
      </c>
      <c r="C32" s="364"/>
      <c r="D32" s="365"/>
      <c r="E32" s="66">
        <v>0</v>
      </c>
      <c r="F32" s="220"/>
      <c r="N32" s="269"/>
      <c r="P32" s="155"/>
      <c r="R32" s="155"/>
    </row>
    <row r="33" spans="2:18">
      <c r="E33" s="61"/>
      <c r="F33" s="219"/>
    </row>
    <row r="34" spans="2:18">
      <c r="E34" s="61"/>
      <c r="F34" s="219"/>
      <c r="H34" s="61"/>
      <c r="I34" s="61"/>
      <c r="J34" s="39"/>
      <c r="K34" s="61"/>
      <c r="N34" s="269"/>
      <c r="P34" s="155"/>
      <c r="R34" s="155"/>
    </row>
    <row r="35" spans="2:18">
      <c r="E35" s="61"/>
      <c r="F35" s="219"/>
      <c r="G35" s="8"/>
      <c r="H35" s="61"/>
      <c r="I35" s="61"/>
      <c r="J35" s="39"/>
      <c r="K35" s="61"/>
    </row>
    <row r="36" spans="2:18">
      <c r="E36" s="61"/>
      <c r="F36" s="219"/>
      <c r="G36" s="8"/>
      <c r="H36" s="13"/>
      <c r="I36" s="61"/>
      <c r="J36" s="13"/>
      <c r="K36" s="83"/>
      <c r="L36" s="61"/>
      <c r="M36" s="61"/>
      <c r="N36" s="269"/>
      <c r="P36" s="155"/>
      <c r="R36" s="155"/>
    </row>
    <row r="37" spans="2:18">
      <c r="B37" s="61"/>
      <c r="C37" s="61"/>
      <c r="D37" s="61"/>
      <c r="E37" s="110" t="s">
        <v>395</v>
      </c>
      <c r="F37" s="299"/>
      <c r="G37" s="181"/>
      <c r="H37" s="161"/>
      <c r="I37" s="197"/>
      <c r="J37" s="13"/>
      <c r="K37" s="83"/>
      <c r="L37" s="61"/>
      <c r="M37" s="61"/>
    </row>
    <row r="38" spans="2:18" s="61" customFormat="1" ht="15" customHeight="1">
      <c r="E38" s="110"/>
      <c r="F38" s="299"/>
      <c r="G38" s="86"/>
      <c r="I38" s="197"/>
      <c r="J38" s="13"/>
      <c r="K38" s="83"/>
      <c r="L38" s="88"/>
      <c r="N38" s="272"/>
      <c r="P38" s="273"/>
      <c r="R38" s="273"/>
    </row>
    <row r="39" spans="2:18" s="61" customFormat="1" ht="15" customHeight="1">
      <c r="E39" s="82" t="s">
        <v>34</v>
      </c>
      <c r="F39" s="299">
        <f>F19</f>
        <v>1490484.31</v>
      </c>
      <c r="G39" s="86"/>
      <c r="H39" s="161"/>
      <c r="I39" s="197"/>
      <c r="J39" s="13"/>
      <c r="K39" s="85"/>
      <c r="L39" s="161"/>
      <c r="M39" s="197"/>
    </row>
    <row r="40" spans="2:18" s="61" customFormat="1" ht="15" customHeight="1">
      <c r="E40" s="82" t="s">
        <v>35</v>
      </c>
      <c r="F40" s="299">
        <f>+E19</f>
        <v>15110.02</v>
      </c>
      <c r="G40" s="86"/>
      <c r="I40" s="214"/>
      <c r="J40" s="13"/>
      <c r="K40" s="87"/>
      <c r="L40" s="161"/>
      <c r="M40" s="197"/>
      <c r="N40" s="272"/>
      <c r="P40" s="273"/>
      <c r="R40" s="273"/>
    </row>
    <row r="41" spans="2:18" s="61" customFormat="1" ht="15" customHeight="1">
      <c r="E41" s="82" t="s">
        <v>36</v>
      </c>
      <c r="F41" s="299">
        <v>0</v>
      </c>
      <c r="G41" s="9"/>
      <c r="I41" s="197"/>
      <c r="J41" s="13"/>
      <c r="M41" s="197"/>
    </row>
    <row r="42" spans="2:18" s="61" customFormat="1" ht="15" customHeight="1">
      <c r="E42" s="82" t="s">
        <v>37</v>
      </c>
      <c r="F42" s="299">
        <v>0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112" t="s">
        <v>38</v>
      </c>
      <c r="F43" s="225">
        <f>SUM(F39:F42)</f>
        <v>1505594.33</v>
      </c>
      <c r="G43" s="9"/>
      <c r="H43" s="163"/>
      <c r="I43" s="229"/>
      <c r="J43" s="13"/>
      <c r="M43" s="197"/>
    </row>
    <row r="44" spans="2:18" s="61" customFormat="1" ht="15" customHeight="1">
      <c r="E44" s="113"/>
      <c r="F44" s="226"/>
      <c r="G44" s="9"/>
      <c r="H44" s="165"/>
      <c r="I44" s="230"/>
      <c r="J44" s="13"/>
      <c r="M44" s="197"/>
      <c r="N44" s="272"/>
      <c r="P44" s="273"/>
      <c r="R44" s="273"/>
    </row>
    <row r="45" spans="2:18" s="61" customFormat="1" ht="15" customHeight="1">
      <c r="E45" s="113" t="s">
        <v>152</v>
      </c>
      <c r="F45" s="226">
        <v>270000</v>
      </c>
      <c r="G45" s="9"/>
      <c r="H45" s="165"/>
      <c r="I45" s="230"/>
      <c r="J45" s="13"/>
      <c r="M45" s="197"/>
      <c r="N45" s="272"/>
      <c r="P45" s="273"/>
      <c r="R45" s="273"/>
    </row>
    <row r="46" spans="2:18" s="61" customFormat="1" ht="15" customHeight="1">
      <c r="E46" s="113" t="s">
        <v>180</v>
      </c>
      <c r="F46" s="226">
        <v>0</v>
      </c>
      <c r="G46" s="9"/>
      <c r="H46" s="165"/>
      <c r="I46" s="230"/>
      <c r="J46" s="13"/>
      <c r="M46" s="197"/>
      <c r="N46" s="272"/>
      <c r="P46" s="273"/>
      <c r="R46" s="273"/>
    </row>
    <row r="47" spans="2:18" s="61" customFormat="1" ht="15" customHeight="1">
      <c r="E47" s="113" t="s">
        <v>78</v>
      </c>
      <c r="F47" s="226">
        <v>115000</v>
      </c>
      <c r="G47" s="9"/>
      <c r="H47" s="165"/>
      <c r="I47" s="230"/>
      <c r="J47" s="13"/>
      <c r="M47" s="197"/>
      <c r="N47" s="272"/>
      <c r="P47" s="273"/>
      <c r="R47" s="273"/>
    </row>
    <row r="48" spans="2:18" s="61" customFormat="1" ht="15" customHeight="1">
      <c r="E48" s="113" t="s">
        <v>178</v>
      </c>
      <c r="F48" s="226">
        <v>1350000</v>
      </c>
      <c r="G48" s="9"/>
      <c r="H48" s="165"/>
      <c r="I48" s="230"/>
      <c r="J48" s="13"/>
      <c r="M48" s="197"/>
      <c r="N48" s="272"/>
      <c r="P48" s="273"/>
      <c r="R48" s="273"/>
    </row>
    <row r="49" spans="2:18" s="61" customFormat="1" ht="15" customHeight="1">
      <c r="E49" s="113" t="s">
        <v>105</v>
      </c>
      <c r="F49" s="226">
        <v>60000</v>
      </c>
      <c r="G49" s="9"/>
      <c r="H49" s="165"/>
      <c r="I49" s="230"/>
      <c r="J49" s="13"/>
      <c r="M49" s="197"/>
      <c r="N49" s="272"/>
      <c r="P49" s="273"/>
      <c r="R49" s="273"/>
    </row>
    <row r="50" spans="2:18" s="61" customFormat="1" ht="15" customHeight="1">
      <c r="E50" s="116" t="s">
        <v>24</v>
      </c>
      <c r="F50" s="221">
        <f>15000+65000+100000+220000+25000</f>
        <v>425000</v>
      </c>
      <c r="G50" s="8"/>
      <c r="H50" s="91"/>
      <c r="I50" s="231"/>
      <c r="J50" s="13"/>
    </row>
    <row r="51" spans="2:18" s="61" customFormat="1" ht="15" customHeight="1">
      <c r="E51" s="116" t="s">
        <v>22</v>
      </c>
      <c r="F51" s="221">
        <v>50000</v>
      </c>
      <c r="G51" s="8"/>
      <c r="H51" s="96"/>
      <c r="I51" s="231"/>
      <c r="J51" s="262"/>
    </row>
    <row r="52" spans="2:18" s="61" customFormat="1">
      <c r="E52" s="116" t="s">
        <v>40</v>
      </c>
      <c r="F52" s="226">
        <f>150000-100000</f>
        <v>50000</v>
      </c>
      <c r="G52" s="82"/>
      <c r="H52" s="83"/>
      <c r="I52" s="228"/>
      <c r="J52" s="13"/>
    </row>
    <row r="53" spans="2:18" s="61" customFormat="1">
      <c r="E53" s="116" t="s">
        <v>69</v>
      </c>
      <c r="F53" s="226">
        <v>120000</v>
      </c>
      <c r="G53" s="82"/>
      <c r="H53" s="83"/>
      <c r="I53" s="228"/>
      <c r="J53" s="13"/>
    </row>
    <row r="54" spans="2:18" s="61" customFormat="1">
      <c r="E54" s="118" t="s">
        <v>41</v>
      </c>
      <c r="F54" s="225">
        <f>SUM(F45:F53)</f>
        <v>2440000</v>
      </c>
      <c r="G54" s="82"/>
      <c r="H54" s="83"/>
      <c r="I54" s="233"/>
      <c r="J54" s="13"/>
    </row>
    <row r="55" spans="2:18" s="61" customFormat="1">
      <c r="E55" s="118" t="s">
        <v>42</v>
      </c>
      <c r="F55" s="225">
        <f>F43-F54</f>
        <v>-934405.66999999993</v>
      </c>
      <c r="G55" s="82"/>
      <c r="H55" s="83"/>
      <c r="I55" s="233"/>
      <c r="J55" s="13"/>
    </row>
    <row r="56" spans="2:18" s="61" customFormat="1">
      <c r="E56" s="82"/>
      <c r="F56" s="80"/>
      <c r="G56" s="82"/>
      <c r="H56" s="83"/>
      <c r="I56" s="233"/>
      <c r="J56" s="13"/>
      <c r="L56" s="91"/>
      <c r="M56" s="232"/>
    </row>
    <row r="57" spans="2:18" s="61" customFormat="1">
      <c r="E57" s="82" t="s">
        <v>43</v>
      </c>
      <c r="F57" s="80">
        <v>0</v>
      </c>
      <c r="G57" s="82"/>
      <c r="H57" s="96"/>
      <c r="I57" s="228"/>
      <c r="J57" s="13"/>
      <c r="L57" s="91"/>
      <c r="M57" s="232"/>
    </row>
    <row r="58" spans="2:18" s="61" customFormat="1">
      <c r="E58" s="82" t="s">
        <v>44</v>
      </c>
      <c r="F58" s="80">
        <v>0</v>
      </c>
      <c r="G58" s="82"/>
      <c r="H58" s="96"/>
      <c r="I58" s="228"/>
      <c r="J58" s="13"/>
      <c r="L58" s="91"/>
      <c r="M58" s="232"/>
    </row>
    <row r="59" spans="2:18" s="61" customFormat="1">
      <c r="E59" s="82" t="s">
        <v>386</v>
      </c>
      <c r="F59" s="80">
        <v>3866.8</v>
      </c>
      <c r="G59" s="82"/>
      <c r="H59" s="83"/>
      <c r="I59" s="233"/>
      <c r="J59" s="13"/>
      <c r="L59" s="96"/>
      <c r="M59" s="231"/>
    </row>
    <row r="60" spans="2:18" s="61" customFormat="1">
      <c r="E60" s="82" t="s">
        <v>45</v>
      </c>
      <c r="F60" s="117">
        <v>993098.58</v>
      </c>
      <c r="G60" s="8"/>
      <c r="H60" s="96"/>
      <c r="I60" s="219"/>
      <c r="J60" s="13"/>
      <c r="L60" s="96"/>
      <c r="M60" s="233"/>
    </row>
    <row r="61" spans="2:18" s="61" customFormat="1">
      <c r="E61" s="82" t="s">
        <v>205</v>
      </c>
      <c r="F61" s="117">
        <v>0</v>
      </c>
      <c r="G61" s="8"/>
      <c r="J61" s="13"/>
    </row>
    <row r="62" spans="2:18" s="61" customFormat="1">
      <c r="B62"/>
      <c r="C62"/>
      <c r="D62"/>
      <c r="E62" s="82" t="s">
        <v>206</v>
      </c>
      <c r="F62" s="117">
        <v>0</v>
      </c>
      <c r="G62" s="8"/>
      <c r="J62" s="13"/>
      <c r="L62" s="83"/>
      <c r="M62" s="228"/>
    </row>
    <row r="63" spans="2:18">
      <c r="E63" s="118" t="s">
        <v>46</v>
      </c>
      <c r="F63" s="120">
        <f>SUM(F57:F62)</f>
        <v>996965.38</v>
      </c>
      <c r="G63" s="8"/>
      <c r="L63" s="61"/>
      <c r="M63" s="61"/>
    </row>
    <row r="64" spans="2:18">
      <c r="E64" s="82"/>
      <c r="F64" s="80"/>
      <c r="G64" s="8"/>
      <c r="L64" s="61"/>
      <c r="M64" s="61"/>
    </row>
    <row r="65" spans="1:7">
      <c r="E65" s="118" t="s">
        <v>47</v>
      </c>
      <c r="F65" s="120">
        <f>F55-F63</f>
        <v>-1931371.0499999998</v>
      </c>
      <c r="G65" s="8"/>
    </row>
    <row r="66" spans="1:7">
      <c r="D66" s="247" t="s">
        <v>192</v>
      </c>
      <c r="E66" s="8"/>
      <c r="F66" s="220"/>
      <c r="G66" s="8"/>
    </row>
    <row r="67" spans="1:7">
      <c r="D67" s="247" t="s">
        <v>194</v>
      </c>
      <c r="E67" s="61"/>
      <c r="F67" s="219"/>
      <c r="G67" s="8"/>
    </row>
    <row r="68" spans="1:7">
      <c r="D68" s="8" t="s">
        <v>9</v>
      </c>
      <c r="E68" s="61"/>
      <c r="F68" s="219"/>
      <c r="G68" s="124">
        <f>SUM(E76:F76)</f>
        <v>0</v>
      </c>
    </row>
    <row r="69" spans="1:7">
      <c r="D69" s="8" t="s">
        <v>195</v>
      </c>
      <c r="E69" s="61"/>
      <c r="F69" s="219"/>
      <c r="G69" s="8"/>
    </row>
    <row r="70" spans="1:7">
      <c r="D70" s="8" t="s">
        <v>188</v>
      </c>
      <c r="E70" s="243"/>
      <c r="F70" s="243"/>
      <c r="G70" s="8"/>
    </row>
    <row r="71" spans="1:7">
      <c r="D71" s="8"/>
      <c r="E71" s="243"/>
      <c r="F71" s="244"/>
    </row>
    <row r="72" spans="1:7">
      <c r="E72" s="245"/>
      <c r="F72" s="246"/>
    </row>
    <row r="73" spans="1:7">
      <c r="E73" s="245"/>
      <c r="F73" s="246"/>
    </row>
    <row r="74" spans="1:7">
      <c r="E74" s="249"/>
      <c r="F74" s="287"/>
    </row>
    <row r="75" spans="1:7">
      <c r="E75" s="124"/>
      <c r="F75" s="287"/>
    </row>
    <row r="76" spans="1:7">
      <c r="E76" s="8"/>
    </row>
    <row r="77" spans="1:7">
      <c r="E77" s="8"/>
    </row>
    <row r="78" spans="1:7">
      <c r="A78" s="268"/>
      <c r="E78" s="8"/>
    </row>
    <row r="79" spans="1:7">
      <c r="E79" s="8"/>
    </row>
    <row r="80" spans="1:7">
      <c r="B80" s="235"/>
      <c r="E80" s="8"/>
    </row>
    <row r="81" spans="1:5">
      <c r="E81" s="8"/>
    </row>
    <row r="82" spans="1:5"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93"/>
    </row>
    <row r="111" spans="1:5">
      <c r="C111" s="155"/>
      <c r="E111" s="8"/>
    </row>
    <row r="112" spans="1:5">
      <c r="A112" s="269"/>
      <c r="E112" s="293"/>
    </row>
    <row r="113" spans="1:5">
      <c r="C113" s="155"/>
      <c r="E113" s="8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  <c r="E123" s="79"/>
    </row>
    <row r="124" spans="1:5">
      <c r="A124" s="269"/>
      <c r="E124" s="277"/>
    </row>
    <row r="125" spans="1:5">
      <c r="C125" s="155"/>
      <c r="E125" s="79"/>
    </row>
    <row r="126" spans="1:5">
      <c r="A126" s="269"/>
      <c r="E126" s="277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C199" s="155"/>
    </row>
    <row r="200" spans="1:5">
      <c r="A200" s="269"/>
      <c r="E200" s="155"/>
    </row>
    <row r="201" spans="1:5">
      <c r="C201" s="155"/>
    </row>
    <row r="202" spans="1:5">
      <c r="A202" s="269"/>
      <c r="E202" s="155"/>
    </row>
    <row r="203" spans="1:5">
      <c r="D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5">
      <c r="C209" s="155"/>
    </row>
    <row r="210" spans="1:5">
      <c r="A210" s="269"/>
      <c r="E210" s="155"/>
    </row>
    <row r="211" spans="1:5">
      <c r="C211" s="155"/>
    </row>
    <row r="212" spans="1:5">
      <c r="A212" s="269"/>
      <c r="E212" s="155"/>
    </row>
    <row r="213" spans="1:5">
      <c r="C213" s="155"/>
    </row>
    <row r="214" spans="1:5">
      <c r="A214" s="269"/>
    </row>
  </sheetData>
  <mergeCells count="16">
    <mergeCell ref="B20:D20"/>
    <mergeCell ref="E10:F10"/>
    <mergeCell ref="B12:E12"/>
    <mergeCell ref="B14:D14"/>
    <mergeCell ref="B17:D17"/>
    <mergeCell ref="B19:D19"/>
    <mergeCell ref="G14:K14"/>
    <mergeCell ref="B15:D15"/>
    <mergeCell ref="G15:H15"/>
    <mergeCell ref="J15:K15"/>
    <mergeCell ref="B16:D16"/>
    <mergeCell ref="G21:H21"/>
    <mergeCell ref="G25:K25"/>
    <mergeCell ref="G27:H27"/>
    <mergeCell ref="B31:D31"/>
    <mergeCell ref="B32:D32"/>
  </mergeCells>
  <phoneticPr fontId="30" type="noConversion"/>
  <pageMargins left="0.7" right="0.7" top="0.75" bottom="0.75" header="0.3" footer="0.3"/>
  <drawing r:id="rId1"/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A10C6-B3F2-4801-8480-18A45410A46F}">
  <dimension ref="A6:R214"/>
  <sheetViews>
    <sheetView showGridLines="0" workbookViewId="0">
      <selection sqref="A1:XFD1048576"/>
    </sheetView>
  </sheetViews>
  <sheetFormatPr baseColWidth="10" defaultRowHeight="14.5"/>
  <cols>
    <col min="2" max="2" width="16.54296875" customWidth="1"/>
    <col min="4" max="4" width="22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3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3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3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3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3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3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  <c r="M11" s="235"/>
    </row>
    <row r="12" spans="1:13" ht="19" thickBot="1">
      <c r="A12" s="1"/>
      <c r="B12" s="331" t="s">
        <v>2</v>
      </c>
      <c r="C12" s="332"/>
      <c r="D12" s="332"/>
      <c r="E12" s="333"/>
      <c r="F12" s="295"/>
      <c r="G12" s="296"/>
      <c r="H12" s="1"/>
      <c r="I12" s="1"/>
      <c r="J12" s="76"/>
      <c r="K12" s="1"/>
    </row>
    <row r="13" spans="1:13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  <c r="M13" s="235"/>
    </row>
    <row r="14" spans="1:13" ht="18" thickBot="1">
      <c r="A14" s="11"/>
      <c r="B14" s="334" t="s">
        <v>3</v>
      </c>
      <c r="C14" s="335"/>
      <c r="D14" s="336"/>
      <c r="E14" s="17">
        <f>SUM(E15:E17)</f>
        <v>525219.91999999993</v>
      </c>
      <c r="F14" s="264"/>
      <c r="G14" s="331" t="s">
        <v>4</v>
      </c>
      <c r="H14" s="332"/>
      <c r="I14" s="332"/>
      <c r="J14" s="332"/>
      <c r="K14" s="333"/>
      <c r="L14" s="13"/>
    </row>
    <row r="15" spans="1:13">
      <c r="A15" s="1"/>
      <c r="B15" s="337" t="s">
        <v>5</v>
      </c>
      <c r="C15" s="338"/>
      <c r="D15" s="339"/>
      <c r="E15" s="20">
        <f>J16+J17+J18+J19</f>
        <v>410679.54999999993</v>
      </c>
      <c r="F15" s="153"/>
      <c r="G15" s="340" t="s">
        <v>6</v>
      </c>
      <c r="H15" s="341"/>
      <c r="I15" s="21"/>
      <c r="J15" s="342" t="s">
        <v>5</v>
      </c>
      <c r="K15" s="343"/>
      <c r="L15" s="13"/>
      <c r="M15" s="235"/>
    </row>
    <row r="16" spans="1:13">
      <c r="A16" s="1"/>
      <c r="B16" s="349" t="s">
        <v>7</v>
      </c>
      <c r="C16" s="350"/>
      <c r="D16" s="351"/>
      <c r="E16" s="20">
        <f>G22+G23</f>
        <v>49967.82</v>
      </c>
      <c r="F16" s="153"/>
      <c r="G16" s="22">
        <v>18794.22</v>
      </c>
      <c r="H16" s="23" t="s">
        <v>8</v>
      </c>
      <c r="I16" s="24"/>
      <c r="J16" s="25">
        <v>41016.92</v>
      </c>
      <c r="K16" s="26" t="s">
        <v>9</v>
      </c>
      <c r="L16" s="19"/>
    </row>
    <row r="17" spans="1:18">
      <c r="A17" s="1"/>
      <c r="B17" s="352" t="s">
        <v>6</v>
      </c>
      <c r="C17" s="353"/>
      <c r="D17" s="354"/>
      <c r="E17" s="28">
        <f>G16+G17+G18</f>
        <v>64572.55</v>
      </c>
      <c r="F17" s="153">
        <f>E15+E16+E17</f>
        <v>525219.91999999993</v>
      </c>
      <c r="G17" s="22">
        <v>23894.799999999999</v>
      </c>
      <c r="H17" s="29" t="s">
        <v>10</v>
      </c>
      <c r="I17" s="30"/>
      <c r="J17" s="25">
        <v>21602.68</v>
      </c>
      <c r="K17" s="31" t="s">
        <v>10</v>
      </c>
      <c r="L17" s="13"/>
    </row>
    <row r="18" spans="1:18">
      <c r="A18" s="1"/>
      <c r="B18" s="236" t="s">
        <v>187</v>
      </c>
      <c r="C18" s="237"/>
      <c r="D18" s="238"/>
      <c r="E18" s="28">
        <f>+J22</f>
        <v>20822.95</v>
      </c>
      <c r="F18" s="153">
        <v>180000</v>
      </c>
      <c r="G18" s="22">
        <v>21883.53</v>
      </c>
      <c r="H18" s="29" t="s">
        <v>12</v>
      </c>
      <c r="I18" s="30"/>
      <c r="J18" s="25">
        <v>323986.15999999997</v>
      </c>
      <c r="K18" s="31" t="s">
        <v>12</v>
      </c>
      <c r="L18" s="13"/>
      <c r="N18" s="3"/>
    </row>
    <row r="19" spans="1:18">
      <c r="B19" s="379" t="s">
        <v>11</v>
      </c>
      <c r="C19" s="380"/>
      <c r="D19" s="381"/>
      <c r="E19" s="20">
        <f>G29+G31+G30+G28</f>
        <v>15114.32</v>
      </c>
      <c r="F19" s="153">
        <f>+F17-F18</f>
        <v>345219.91999999993</v>
      </c>
      <c r="G19" s="33"/>
      <c r="H19" s="34"/>
      <c r="I19" s="30"/>
      <c r="J19" s="25">
        <v>24073.79</v>
      </c>
      <c r="K19" s="31" t="s">
        <v>14</v>
      </c>
      <c r="N19" s="3"/>
    </row>
    <row r="20" spans="1:18">
      <c r="B20" s="344" t="s">
        <v>13</v>
      </c>
      <c r="C20" s="345"/>
      <c r="D20" s="346"/>
      <c r="E20" s="20">
        <v>14318642.66</v>
      </c>
      <c r="F20" s="153"/>
      <c r="G20" s="239"/>
      <c r="H20" s="240"/>
      <c r="I20" s="30"/>
      <c r="J20" s="25"/>
      <c r="K20" s="31"/>
      <c r="L20" s="152"/>
      <c r="N20" s="3"/>
    </row>
    <row r="21" spans="1:18">
      <c r="B21" s="187" t="s">
        <v>15</v>
      </c>
      <c r="C21" s="188"/>
      <c r="D21" s="189"/>
      <c r="E21" s="190">
        <f>SUM(E22:E25)</f>
        <v>278968.23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  <c r="N21" s="268"/>
    </row>
    <row r="22" spans="1:18" ht="15" customHeight="1">
      <c r="B22" s="303"/>
      <c r="C22" s="304"/>
      <c r="D22" s="308" t="s">
        <v>90</v>
      </c>
      <c r="E22" s="190">
        <v>232510.23</v>
      </c>
      <c r="F22" s="153"/>
      <c r="G22" s="44">
        <v>22476.04</v>
      </c>
      <c r="H22" s="29" t="s">
        <v>10</v>
      </c>
      <c r="I22" s="30"/>
      <c r="J22" s="25">
        <v>20822.95</v>
      </c>
      <c r="K22" s="31" t="s">
        <v>188</v>
      </c>
      <c r="L22" s="294"/>
      <c r="M22" s="294"/>
    </row>
    <row r="23" spans="1:18" ht="15" customHeight="1">
      <c r="B23" s="301"/>
      <c r="C23" s="302"/>
      <c r="D23" s="306" t="s">
        <v>397</v>
      </c>
      <c r="E23" s="190">
        <v>46458</v>
      </c>
      <c r="F23" s="153"/>
      <c r="G23" s="44">
        <v>27491.78</v>
      </c>
      <c r="H23" s="29" t="s">
        <v>18</v>
      </c>
      <c r="I23" s="30"/>
      <c r="J23" s="25"/>
      <c r="K23" s="31"/>
      <c r="L23" s="294"/>
      <c r="M23" s="294"/>
    </row>
    <row r="24" spans="1:18" ht="15" thickBot="1">
      <c r="B24" s="187"/>
      <c r="C24" s="188"/>
      <c r="D24" s="198"/>
      <c r="E24" s="190">
        <v>0</v>
      </c>
      <c r="F24" s="153"/>
      <c r="G24" s="51"/>
      <c r="H24" s="34"/>
      <c r="I24" s="30"/>
      <c r="J24" s="210"/>
      <c r="K24" s="53"/>
      <c r="L24" s="294"/>
      <c r="M24" s="294"/>
      <c r="O24" s="235"/>
    </row>
    <row r="25" spans="1:18" ht="15" thickBot="1">
      <c r="B25" s="187"/>
      <c r="C25" s="188"/>
      <c r="D25" s="198"/>
      <c r="E25" s="190">
        <v>0</v>
      </c>
      <c r="F25" s="153"/>
      <c r="G25" s="331" t="s">
        <v>21</v>
      </c>
      <c r="H25" s="332"/>
      <c r="I25" s="332"/>
      <c r="J25" s="332"/>
      <c r="K25" s="333"/>
    </row>
    <row r="26" spans="1:18">
      <c r="B26" s="202" t="s">
        <v>17</v>
      </c>
      <c r="C26" s="203"/>
      <c r="D26" s="204"/>
      <c r="E26" s="234">
        <f>44256.34+4279.21</f>
        <v>48535.549999999996</v>
      </c>
      <c r="F26" s="220"/>
      <c r="G26" s="54"/>
      <c r="H26" s="55"/>
      <c r="I26" s="56"/>
      <c r="J26" s="211"/>
      <c r="K26" s="58"/>
      <c r="N26" s="290"/>
    </row>
    <row r="27" spans="1:18">
      <c r="B27" s="202" t="s">
        <v>163</v>
      </c>
      <c r="C27" s="203"/>
      <c r="D27" s="204"/>
      <c r="E27" s="234">
        <f>230000+20000</f>
        <v>250000</v>
      </c>
      <c r="F27" s="153">
        <f>+F19-E26</f>
        <v>296684.36999999994</v>
      </c>
      <c r="G27" s="377" t="s">
        <v>5</v>
      </c>
      <c r="H27" s="378"/>
      <c r="I27" s="59"/>
      <c r="J27" s="60"/>
      <c r="K27" s="45"/>
      <c r="N27" s="290"/>
      <c r="Q27" s="155"/>
      <c r="R27" s="155"/>
    </row>
    <row r="28" spans="1:18">
      <c r="B28" s="199" t="s">
        <v>22</v>
      </c>
      <c r="C28" s="200"/>
      <c r="D28" s="201"/>
      <c r="E28" s="234">
        <v>6022</v>
      </c>
      <c r="F28" s="288">
        <f>SUM(E26:E32)</f>
        <v>429057.55</v>
      </c>
      <c r="G28" s="22">
        <v>4192.4399999999996</v>
      </c>
      <c r="H28" s="62" t="s">
        <v>9</v>
      </c>
      <c r="I28" s="59"/>
      <c r="J28" s="60"/>
      <c r="K28" s="45"/>
      <c r="N28" s="290"/>
      <c r="P28" s="155"/>
      <c r="R28" s="155"/>
    </row>
    <row r="29" spans="1:18">
      <c r="B29" s="199" t="s">
        <v>64</v>
      </c>
      <c r="C29" s="200"/>
      <c r="D29" s="201"/>
      <c r="E29" s="234">
        <v>4500</v>
      </c>
      <c r="F29" s="153">
        <f>+F27-F28</f>
        <v>-132373.18000000005</v>
      </c>
      <c r="G29" s="22">
        <v>1710.01</v>
      </c>
      <c r="H29" s="62" t="s">
        <v>26</v>
      </c>
      <c r="I29" s="63"/>
      <c r="J29" s="64" t="s">
        <v>27</v>
      </c>
      <c r="K29" s="65" t="s">
        <v>28</v>
      </c>
      <c r="M29" s="291"/>
      <c r="N29" s="292"/>
    </row>
    <row r="30" spans="1:18">
      <c r="B30" s="199" t="s">
        <v>24</v>
      </c>
      <c r="C30" s="200"/>
      <c r="D30" s="201"/>
      <c r="E30" s="49">
        <v>0</v>
      </c>
      <c r="F30" s="221"/>
      <c r="G30" s="67">
        <v>1913.54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1:18" ht="15" thickBot="1">
      <c r="B31" s="344" t="s">
        <v>69</v>
      </c>
      <c r="C31" s="345"/>
      <c r="D31" s="346"/>
      <c r="E31" s="234">
        <v>120000</v>
      </c>
      <c r="F31" s="220"/>
      <c r="G31" s="71">
        <v>7298.33</v>
      </c>
      <c r="H31" s="72" t="s">
        <v>12</v>
      </c>
      <c r="I31" s="73"/>
      <c r="J31" s="74" t="s">
        <v>32</v>
      </c>
      <c r="K31" s="75" t="s">
        <v>33</v>
      </c>
    </row>
    <row r="32" spans="1:18" ht="15" thickBot="1">
      <c r="B32" s="363" t="s">
        <v>29</v>
      </c>
      <c r="C32" s="364"/>
      <c r="D32" s="365"/>
      <c r="E32" s="66">
        <v>0</v>
      </c>
      <c r="F32" s="220"/>
      <c r="N32" s="269"/>
      <c r="P32" s="155"/>
      <c r="R32" s="155"/>
    </row>
    <row r="33" spans="2:18">
      <c r="E33" s="61"/>
      <c r="F33" s="219"/>
    </row>
    <row r="34" spans="2:18">
      <c r="E34" s="61"/>
      <c r="F34" s="219"/>
      <c r="H34" s="61"/>
      <c r="I34" s="61"/>
      <c r="J34" s="39"/>
      <c r="K34" s="61"/>
      <c r="N34" s="269"/>
      <c r="P34" s="155"/>
      <c r="R34" s="155"/>
    </row>
    <row r="35" spans="2:18">
      <c r="E35" s="61"/>
      <c r="F35" s="219"/>
      <c r="G35" s="8"/>
      <c r="H35" s="61"/>
      <c r="I35" s="61"/>
      <c r="J35" s="39"/>
      <c r="K35" s="61"/>
    </row>
    <row r="36" spans="2:18">
      <c r="E36" s="61"/>
      <c r="F36" s="219"/>
      <c r="G36" s="8"/>
      <c r="H36" s="13"/>
      <c r="I36" s="61"/>
      <c r="J36" s="13"/>
      <c r="K36" s="83"/>
      <c r="L36" s="61"/>
      <c r="M36" s="61"/>
      <c r="N36" s="269"/>
      <c r="P36" s="155"/>
      <c r="R36" s="155"/>
    </row>
    <row r="37" spans="2:18">
      <c r="B37" s="61"/>
      <c r="C37" s="61"/>
      <c r="D37" s="61"/>
      <c r="E37" s="110" t="s">
        <v>395</v>
      </c>
      <c r="F37" s="299"/>
      <c r="G37" s="181"/>
      <c r="H37" s="161"/>
      <c r="I37" s="197"/>
      <c r="J37" s="13"/>
      <c r="K37" s="83"/>
      <c r="L37" s="61"/>
      <c r="M37" s="61"/>
    </row>
    <row r="38" spans="2:18" s="61" customFormat="1" ht="15" customHeight="1">
      <c r="E38" s="110"/>
      <c r="F38" s="299"/>
      <c r="G38" s="86"/>
      <c r="I38" s="197"/>
      <c r="J38" s="13"/>
      <c r="K38" s="83"/>
      <c r="L38" s="88"/>
      <c r="N38" s="272"/>
      <c r="P38" s="273"/>
      <c r="R38" s="273"/>
    </row>
    <row r="39" spans="2:18" s="61" customFormat="1" ht="15" customHeight="1">
      <c r="E39" s="82" t="s">
        <v>34</v>
      </c>
      <c r="F39" s="299">
        <f>F19</f>
        <v>345219.91999999993</v>
      </c>
      <c r="G39" s="86"/>
      <c r="H39" s="161"/>
      <c r="I39" s="197"/>
      <c r="J39" s="13"/>
      <c r="K39" s="85"/>
      <c r="L39" s="161"/>
      <c r="M39" s="197"/>
    </row>
    <row r="40" spans="2:18" s="61" customFormat="1" ht="15" customHeight="1">
      <c r="E40" s="82" t="s">
        <v>35</v>
      </c>
      <c r="F40" s="299">
        <f>+E19</f>
        <v>15114.32</v>
      </c>
      <c r="G40" s="86"/>
      <c r="I40" s="214"/>
      <c r="J40" s="13"/>
      <c r="K40" s="87"/>
      <c r="L40" s="161"/>
      <c r="M40" s="197"/>
      <c r="N40" s="272"/>
      <c r="P40" s="273"/>
      <c r="R40" s="273"/>
    </row>
    <row r="41" spans="2:18" s="61" customFormat="1" ht="15" customHeight="1">
      <c r="E41" s="82" t="s">
        <v>36</v>
      </c>
      <c r="F41" s="299">
        <v>0</v>
      </c>
      <c r="G41" s="9"/>
      <c r="I41" s="197"/>
      <c r="J41" s="13"/>
      <c r="M41" s="197"/>
    </row>
    <row r="42" spans="2:18" s="61" customFormat="1" ht="15" customHeight="1">
      <c r="E42" s="82" t="s">
        <v>37</v>
      </c>
      <c r="F42" s="299">
        <v>0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112" t="s">
        <v>38</v>
      </c>
      <c r="F43" s="225">
        <f>SUM(F39:F42)</f>
        <v>360334.23999999993</v>
      </c>
      <c r="G43" s="9"/>
      <c r="H43" s="163"/>
      <c r="I43" s="229"/>
      <c r="J43" s="13"/>
      <c r="M43" s="197"/>
    </row>
    <row r="44" spans="2:18" s="61" customFormat="1" ht="15" customHeight="1">
      <c r="E44" s="113"/>
      <c r="F44" s="226"/>
      <c r="G44" s="9"/>
      <c r="H44" s="165"/>
      <c r="I44" s="230"/>
      <c r="J44" s="13"/>
      <c r="M44" s="197"/>
      <c r="N44" s="272"/>
      <c r="P44" s="273"/>
      <c r="R44" s="273"/>
    </row>
    <row r="45" spans="2:18" s="61" customFormat="1" ht="15" customHeight="1">
      <c r="E45" s="113" t="s">
        <v>152</v>
      </c>
      <c r="F45" s="226">
        <v>270000</v>
      </c>
      <c r="G45" s="9"/>
      <c r="H45" s="165"/>
      <c r="I45" s="230"/>
      <c r="J45" s="13"/>
      <c r="M45" s="197"/>
      <c r="N45" s="272"/>
      <c r="P45" s="273"/>
      <c r="R45" s="273"/>
    </row>
    <row r="46" spans="2:18" s="61" customFormat="1" ht="15" customHeight="1">
      <c r="E46" s="113" t="s">
        <v>180</v>
      </c>
      <c r="F46" s="226">
        <v>0</v>
      </c>
      <c r="G46" s="9"/>
      <c r="H46" s="165"/>
      <c r="I46" s="230"/>
      <c r="J46" s="13"/>
      <c r="M46" s="197"/>
      <c r="N46" s="272"/>
      <c r="P46" s="273"/>
      <c r="R46" s="273"/>
    </row>
    <row r="47" spans="2:18" s="61" customFormat="1" ht="15" customHeight="1">
      <c r="E47" s="113" t="s">
        <v>78</v>
      </c>
      <c r="F47" s="226">
        <v>0</v>
      </c>
      <c r="G47" s="9"/>
      <c r="H47" s="165"/>
      <c r="I47" s="230"/>
      <c r="J47" s="13"/>
      <c r="M47" s="197"/>
      <c r="N47" s="272"/>
      <c r="P47" s="273"/>
      <c r="R47" s="273"/>
    </row>
    <row r="48" spans="2:18" s="61" customFormat="1" ht="15" customHeight="1">
      <c r="E48" s="113" t="s">
        <v>178</v>
      </c>
      <c r="F48" s="226">
        <v>0</v>
      </c>
      <c r="G48" s="9"/>
      <c r="H48" s="165"/>
      <c r="I48" s="230"/>
      <c r="J48" s="13"/>
      <c r="M48" s="197"/>
      <c r="N48" s="272"/>
      <c r="P48" s="273"/>
      <c r="R48" s="273"/>
    </row>
    <row r="49" spans="2:18" s="61" customFormat="1" ht="15" customHeight="1">
      <c r="E49" s="113" t="s">
        <v>105</v>
      </c>
      <c r="F49" s="226">
        <v>0</v>
      </c>
      <c r="G49" s="9"/>
      <c r="H49" s="165"/>
      <c r="I49" s="230"/>
      <c r="J49" s="13"/>
      <c r="M49" s="197"/>
      <c r="N49" s="272"/>
      <c r="P49" s="273"/>
      <c r="R49" s="273"/>
    </row>
    <row r="50" spans="2:18" s="61" customFormat="1" ht="15" customHeight="1">
      <c r="E50" s="116" t="s">
        <v>24</v>
      </c>
      <c r="F50" s="221">
        <v>0</v>
      </c>
      <c r="G50" s="8"/>
      <c r="H50" s="91"/>
      <c r="I50" s="231"/>
      <c r="J50" s="13"/>
    </row>
    <row r="51" spans="2:18" s="61" customFormat="1" ht="15" customHeight="1">
      <c r="E51" s="116" t="s">
        <v>22</v>
      </c>
      <c r="F51" s="221">
        <v>50000</v>
      </c>
      <c r="G51" s="8"/>
      <c r="H51" s="96"/>
      <c r="I51" s="231"/>
      <c r="J51" s="262"/>
    </row>
    <row r="52" spans="2:18" s="61" customFormat="1">
      <c r="E52" s="116" t="s">
        <v>40</v>
      </c>
      <c r="F52" s="226">
        <f>150000-100000</f>
        <v>50000</v>
      </c>
      <c r="G52" s="82"/>
      <c r="H52" s="83"/>
      <c r="I52" s="228"/>
      <c r="J52" s="13"/>
    </row>
    <row r="53" spans="2:18" s="61" customFormat="1">
      <c r="E53" s="116" t="s">
        <v>69</v>
      </c>
      <c r="F53" s="226">
        <v>120000</v>
      </c>
      <c r="G53" s="82"/>
      <c r="H53" s="83"/>
      <c r="I53" s="228"/>
      <c r="J53" s="13"/>
    </row>
    <row r="54" spans="2:18" s="61" customFormat="1">
      <c r="E54" s="118" t="s">
        <v>41</v>
      </c>
      <c r="F54" s="225">
        <f>SUM(F45:F53)</f>
        <v>490000</v>
      </c>
      <c r="G54" s="82"/>
      <c r="H54" s="83"/>
      <c r="I54" s="233"/>
      <c r="J54" s="13"/>
    </row>
    <row r="55" spans="2:18" s="61" customFormat="1">
      <c r="E55" s="118" t="s">
        <v>42</v>
      </c>
      <c r="F55" s="225">
        <f>F43-F54</f>
        <v>-129665.76000000007</v>
      </c>
      <c r="G55" s="82"/>
      <c r="H55" s="83"/>
      <c r="I55" s="233"/>
      <c r="J55" s="13"/>
    </row>
    <row r="56" spans="2:18" s="61" customFormat="1">
      <c r="E56" s="82"/>
      <c r="F56" s="80"/>
      <c r="G56" s="82"/>
      <c r="H56" s="83"/>
      <c r="I56" s="233"/>
      <c r="J56" s="13"/>
      <c r="L56" s="91"/>
      <c r="M56" s="232"/>
    </row>
    <row r="57" spans="2:18" s="61" customFormat="1">
      <c r="E57" s="82" t="s">
        <v>43</v>
      </c>
      <c r="F57" s="80">
        <v>0</v>
      </c>
      <c r="G57" s="82"/>
      <c r="H57" s="96"/>
      <c r="I57" s="228"/>
      <c r="J57" s="13"/>
      <c r="L57" s="91"/>
      <c r="M57" s="232"/>
    </row>
    <row r="58" spans="2:18" s="61" customFormat="1">
      <c r="E58" s="82" t="s">
        <v>44</v>
      </c>
      <c r="F58" s="80">
        <v>0</v>
      </c>
      <c r="G58" s="82"/>
      <c r="H58" s="96"/>
      <c r="I58" s="228"/>
      <c r="J58" s="13"/>
      <c r="L58" s="91"/>
      <c r="M58" s="232"/>
    </row>
    <row r="59" spans="2:18" s="61" customFormat="1">
      <c r="E59" s="82" t="s">
        <v>386</v>
      </c>
      <c r="F59" s="80">
        <v>3866.8</v>
      </c>
      <c r="G59" s="82"/>
      <c r="H59" s="83"/>
      <c r="I59" s="233"/>
      <c r="J59" s="13"/>
      <c r="L59" s="96"/>
      <c r="M59" s="231"/>
    </row>
    <row r="60" spans="2:18" s="61" customFormat="1">
      <c r="E60" s="82" t="s">
        <v>45</v>
      </c>
      <c r="F60" s="117">
        <v>993098.58</v>
      </c>
      <c r="G60" s="8"/>
      <c r="H60" s="96"/>
      <c r="I60" s="219"/>
      <c r="J60" s="13"/>
      <c r="L60" s="96"/>
      <c r="M60" s="233"/>
    </row>
    <row r="61" spans="2:18" s="61" customFormat="1">
      <c r="E61" s="82" t="s">
        <v>205</v>
      </c>
      <c r="F61" s="117">
        <v>0</v>
      </c>
      <c r="G61" s="8"/>
      <c r="J61" s="13"/>
    </row>
    <row r="62" spans="2:18" s="61" customFormat="1">
      <c r="B62"/>
      <c r="C62"/>
      <c r="D62"/>
      <c r="E62" s="82" t="s">
        <v>206</v>
      </c>
      <c r="F62" s="117">
        <v>0</v>
      </c>
      <c r="G62" s="8"/>
      <c r="J62" s="13"/>
      <c r="L62" s="83"/>
      <c r="M62" s="228"/>
    </row>
    <row r="63" spans="2:18">
      <c r="E63" s="118" t="s">
        <v>46</v>
      </c>
      <c r="F63" s="120">
        <f>SUM(F57:F62)</f>
        <v>996965.38</v>
      </c>
      <c r="G63" s="8"/>
      <c r="L63" s="61"/>
      <c r="M63" s="61"/>
    </row>
    <row r="64" spans="2:18">
      <c r="E64" s="82"/>
      <c r="F64" s="80"/>
      <c r="G64" s="8"/>
      <c r="L64" s="61"/>
      <c r="M64" s="61"/>
    </row>
    <row r="65" spans="1:7">
      <c r="E65" s="118" t="s">
        <v>47</v>
      </c>
      <c r="F65" s="120">
        <f>F55-F63</f>
        <v>-1126631.1400000001</v>
      </c>
      <c r="G65" s="8"/>
    </row>
    <row r="66" spans="1:7">
      <c r="D66" s="247" t="s">
        <v>192</v>
      </c>
      <c r="E66" s="61"/>
      <c r="F66" s="219"/>
      <c r="G66" s="8"/>
    </row>
    <row r="67" spans="1:7">
      <c r="D67" s="247" t="s">
        <v>194</v>
      </c>
      <c r="E67" s="61"/>
      <c r="F67" s="219"/>
      <c r="G67" s="8"/>
    </row>
    <row r="68" spans="1:7">
      <c r="D68" s="8" t="s">
        <v>9</v>
      </c>
      <c r="E68" s="61"/>
      <c r="F68" s="219"/>
      <c r="G68" s="124">
        <f>SUM(E76:F76)</f>
        <v>0</v>
      </c>
    </row>
    <row r="69" spans="1:7">
      <c r="D69" s="8" t="s">
        <v>195</v>
      </c>
      <c r="E69" s="61"/>
      <c r="F69" s="219"/>
      <c r="G69" s="8"/>
    </row>
    <row r="70" spans="1:7">
      <c r="D70" s="8" t="s">
        <v>188</v>
      </c>
      <c r="E70" s="243"/>
      <c r="F70" s="243"/>
      <c r="G70" s="8"/>
    </row>
    <row r="71" spans="1:7">
      <c r="D71" s="8"/>
      <c r="E71" s="243"/>
      <c r="F71" s="244"/>
    </row>
    <row r="72" spans="1:7">
      <c r="E72" s="245"/>
      <c r="F72" s="246"/>
    </row>
    <row r="73" spans="1:7">
      <c r="E73" s="245"/>
      <c r="F73" s="246"/>
    </row>
    <row r="74" spans="1:7">
      <c r="E74" s="249"/>
      <c r="F74" s="287"/>
    </row>
    <row r="75" spans="1:7">
      <c r="E75" s="124"/>
      <c r="F75" s="287"/>
    </row>
    <row r="76" spans="1:7">
      <c r="E76" s="8"/>
    </row>
    <row r="77" spans="1:7">
      <c r="E77" s="8"/>
    </row>
    <row r="78" spans="1:7">
      <c r="A78" s="268"/>
      <c r="E78" s="8"/>
    </row>
    <row r="79" spans="1:7">
      <c r="E79" s="8"/>
    </row>
    <row r="80" spans="1:7">
      <c r="B80" s="235"/>
      <c r="E80" s="8"/>
    </row>
    <row r="81" spans="1:5">
      <c r="E81" s="8"/>
    </row>
    <row r="82" spans="1:5"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93"/>
    </row>
    <row r="111" spans="1:5">
      <c r="C111" s="155"/>
      <c r="E111" s="8"/>
    </row>
    <row r="112" spans="1:5">
      <c r="A112" s="269"/>
      <c r="E112" s="293"/>
    </row>
    <row r="113" spans="1:5">
      <c r="C113" s="155"/>
      <c r="E113" s="8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  <c r="E123" s="79"/>
    </row>
    <row r="124" spans="1:5">
      <c r="A124" s="269"/>
      <c r="E124" s="277"/>
    </row>
    <row r="125" spans="1:5">
      <c r="C125" s="155"/>
      <c r="E125" s="79"/>
    </row>
    <row r="126" spans="1:5">
      <c r="A126" s="269"/>
      <c r="E126" s="277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C199" s="155"/>
    </row>
    <row r="200" spans="1:5">
      <c r="A200" s="269"/>
      <c r="E200" s="155"/>
    </row>
    <row r="201" spans="1:5">
      <c r="C201" s="155"/>
    </row>
    <row r="202" spans="1:5">
      <c r="A202" s="269"/>
      <c r="E202" s="155"/>
    </row>
    <row r="203" spans="1:5">
      <c r="D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5">
      <c r="C209" s="155"/>
    </row>
    <row r="210" spans="1:5">
      <c r="A210" s="269"/>
      <c r="E210" s="155"/>
    </row>
    <row r="211" spans="1:5">
      <c r="C211" s="155"/>
    </row>
    <row r="212" spans="1:5">
      <c r="A212" s="269"/>
      <c r="E212" s="155"/>
    </row>
    <row r="213" spans="1:5">
      <c r="C213" s="155"/>
    </row>
    <row r="214" spans="1:5">
      <c r="A214" s="269"/>
    </row>
  </sheetData>
  <mergeCells count="16"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37F5F-058E-4207-91C9-BA25D7D462CD}">
  <dimension ref="A6:R213"/>
  <sheetViews>
    <sheetView showGridLines="0" topLeftCell="A9" workbookViewId="0">
      <selection activeCell="J35" sqref="J35"/>
    </sheetView>
  </sheetViews>
  <sheetFormatPr baseColWidth="10" defaultRowHeight="14.5"/>
  <cols>
    <col min="2" max="2" width="16.54296875" customWidth="1"/>
    <col min="4" max="4" width="22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3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3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3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3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3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3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  <c r="M11" s="235"/>
    </row>
    <row r="12" spans="1:13" ht="19" thickBot="1">
      <c r="A12" s="1"/>
      <c r="B12" s="331" t="s">
        <v>2</v>
      </c>
      <c r="C12" s="332"/>
      <c r="D12" s="332"/>
      <c r="E12" s="333"/>
      <c r="F12" s="295"/>
      <c r="G12" s="296"/>
      <c r="H12" s="1"/>
      <c r="I12" s="1"/>
      <c r="J12" s="76"/>
      <c r="K12" s="1"/>
    </row>
    <row r="13" spans="1:13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  <c r="M13" s="235"/>
    </row>
    <row r="14" spans="1:13" ht="18" thickBot="1">
      <c r="A14" s="11"/>
      <c r="B14" s="334" t="s">
        <v>3</v>
      </c>
      <c r="C14" s="335"/>
      <c r="D14" s="336"/>
      <c r="E14" s="17">
        <f>SUM(E15:E17)</f>
        <v>323982.81</v>
      </c>
      <c r="F14" s="217"/>
      <c r="G14" s="331" t="s">
        <v>4</v>
      </c>
      <c r="H14" s="332"/>
      <c r="I14" s="332"/>
      <c r="J14" s="332"/>
      <c r="K14" s="333"/>
      <c r="L14" s="13"/>
    </row>
    <row r="15" spans="1:13">
      <c r="A15" s="1"/>
      <c r="B15" s="337" t="s">
        <v>5</v>
      </c>
      <c r="C15" s="338"/>
      <c r="D15" s="339"/>
      <c r="E15" s="20">
        <f>J16+J17+J18+J19</f>
        <v>151651.88</v>
      </c>
      <c r="F15" s="150"/>
      <c r="G15" s="340" t="s">
        <v>6</v>
      </c>
      <c r="H15" s="341"/>
      <c r="I15" s="21"/>
      <c r="J15" s="342" t="s">
        <v>5</v>
      </c>
      <c r="K15" s="343"/>
      <c r="L15" s="13"/>
      <c r="M15" s="235"/>
    </row>
    <row r="16" spans="1:13">
      <c r="A16" s="1"/>
      <c r="B16" s="349" t="s">
        <v>7</v>
      </c>
      <c r="C16" s="350"/>
      <c r="D16" s="351"/>
      <c r="E16" s="20">
        <f>G22+G23</f>
        <v>43853.61</v>
      </c>
      <c r="F16" s="150"/>
      <c r="G16" s="22">
        <v>18794.22</v>
      </c>
      <c r="H16" s="23" t="s">
        <v>8</v>
      </c>
      <c r="I16" s="24"/>
      <c r="J16" s="25">
        <v>26389.08</v>
      </c>
      <c r="K16" s="26" t="s">
        <v>9</v>
      </c>
      <c r="L16" s="19"/>
    </row>
    <row r="17" spans="1:18">
      <c r="A17" s="1"/>
      <c r="B17" s="352" t="s">
        <v>6</v>
      </c>
      <c r="C17" s="353"/>
      <c r="D17" s="354"/>
      <c r="E17" s="28">
        <f>G16+G17+G18</f>
        <v>128477.32</v>
      </c>
      <c r="F17" s="150">
        <f>E15+E16+E17</f>
        <v>323982.81</v>
      </c>
      <c r="G17" s="22">
        <v>70886.89</v>
      </c>
      <c r="H17" s="29" t="s">
        <v>10</v>
      </c>
      <c r="I17" s="30"/>
      <c r="J17" s="25">
        <v>56035.65</v>
      </c>
      <c r="K17" s="31" t="s">
        <v>10</v>
      </c>
      <c r="L17" s="13"/>
    </row>
    <row r="18" spans="1:18">
      <c r="A18" s="1"/>
      <c r="B18" s="236" t="s">
        <v>187</v>
      </c>
      <c r="C18" s="237"/>
      <c r="D18" s="238"/>
      <c r="E18" s="28">
        <f>+J22</f>
        <v>20822.95</v>
      </c>
      <c r="F18" s="150">
        <v>90000</v>
      </c>
      <c r="G18" s="22">
        <v>38796.21</v>
      </c>
      <c r="H18" s="29" t="s">
        <v>12</v>
      </c>
      <c r="I18" s="30"/>
      <c r="J18" s="25">
        <v>30240.16</v>
      </c>
      <c r="K18" s="31" t="s">
        <v>12</v>
      </c>
      <c r="L18" s="13"/>
      <c r="N18" s="3"/>
    </row>
    <row r="19" spans="1:18">
      <c r="B19" s="379" t="s">
        <v>11</v>
      </c>
      <c r="C19" s="380"/>
      <c r="D19" s="381"/>
      <c r="E19" s="20">
        <f>G29+G31+G30+G28</f>
        <v>15124.92</v>
      </c>
      <c r="F19" s="150">
        <f>+F17-F18</f>
        <v>233982.81</v>
      </c>
      <c r="G19" s="33"/>
      <c r="H19" s="34"/>
      <c r="I19" s="30"/>
      <c r="J19" s="25">
        <v>38986.99</v>
      </c>
      <c r="K19" s="31" t="s">
        <v>14</v>
      </c>
      <c r="N19" s="3"/>
    </row>
    <row r="20" spans="1:18">
      <c r="B20" s="344" t="s">
        <v>13</v>
      </c>
      <c r="C20" s="345"/>
      <c r="D20" s="346"/>
      <c r="E20" s="20">
        <v>14408173.6</v>
      </c>
      <c r="F20" s="150"/>
      <c r="G20" s="239"/>
      <c r="H20" s="240"/>
      <c r="I20" s="30"/>
      <c r="J20" s="25"/>
      <c r="K20" s="31"/>
      <c r="L20" s="152"/>
      <c r="N20" s="3"/>
    </row>
    <row r="21" spans="1:18">
      <c r="B21" s="187" t="s">
        <v>15</v>
      </c>
      <c r="C21" s="188"/>
      <c r="D21" s="189"/>
      <c r="E21" s="190">
        <f>SUM(E22:E25)</f>
        <v>80877.209999999992</v>
      </c>
      <c r="F21" s="150"/>
      <c r="G21" s="361" t="s">
        <v>16</v>
      </c>
      <c r="H21" s="362"/>
      <c r="I21" s="36"/>
      <c r="J21" s="241" t="s">
        <v>187</v>
      </c>
      <c r="K21" s="242"/>
      <c r="L21" s="294"/>
      <c r="M21" s="294"/>
      <c r="N21" s="268"/>
    </row>
    <row r="22" spans="1:18" ht="15" customHeight="1">
      <c r="B22" s="303"/>
      <c r="C22" s="304"/>
      <c r="D22" s="308" t="s">
        <v>400</v>
      </c>
      <c r="E22" s="190">
        <v>28480.04</v>
      </c>
      <c r="F22" s="150"/>
      <c r="G22" s="44">
        <v>17362.439999999999</v>
      </c>
      <c r="H22" s="29" t="s">
        <v>10</v>
      </c>
      <c r="I22" s="30"/>
      <c r="J22" s="25">
        <v>20822.95</v>
      </c>
      <c r="K22" s="31" t="s">
        <v>188</v>
      </c>
      <c r="L22" s="294"/>
      <c r="M22" s="294"/>
    </row>
    <row r="23" spans="1:18" ht="15" customHeight="1">
      <c r="B23" s="301"/>
      <c r="C23" s="302"/>
      <c r="D23" s="308" t="s">
        <v>400</v>
      </c>
      <c r="E23" s="190">
        <v>21309.17</v>
      </c>
      <c r="F23" s="150"/>
      <c r="G23" s="44">
        <v>26491.17</v>
      </c>
      <c r="H23" s="29" t="s">
        <v>18</v>
      </c>
      <c r="I23" s="30"/>
      <c r="J23" s="25"/>
      <c r="K23" s="31"/>
      <c r="L23" s="294"/>
      <c r="M23" s="294"/>
    </row>
    <row r="24" spans="1:18" ht="15" thickBot="1">
      <c r="B24" s="187"/>
      <c r="C24" s="188"/>
      <c r="D24" s="198" t="s">
        <v>399</v>
      </c>
      <c r="E24" s="190">
        <v>18212</v>
      </c>
      <c r="F24" s="150"/>
      <c r="G24" s="51"/>
      <c r="H24" s="34"/>
      <c r="I24" s="30"/>
      <c r="J24" s="210"/>
      <c r="K24" s="53"/>
      <c r="L24" s="294"/>
      <c r="M24" s="294"/>
      <c r="O24" s="235"/>
    </row>
    <row r="25" spans="1:18" ht="15" thickBot="1">
      <c r="B25" s="187"/>
      <c r="C25" s="188"/>
      <c r="D25" s="198" t="s">
        <v>369</v>
      </c>
      <c r="E25" s="190">
        <v>12876</v>
      </c>
      <c r="F25" s="150"/>
      <c r="G25" s="331" t="s">
        <v>21</v>
      </c>
      <c r="H25" s="332"/>
      <c r="I25" s="332"/>
      <c r="J25" s="332"/>
      <c r="K25" s="333"/>
    </row>
    <row r="26" spans="1:18">
      <c r="B26" s="202" t="s">
        <v>17</v>
      </c>
      <c r="C26" s="203"/>
      <c r="D26" s="204"/>
      <c r="E26" s="234">
        <v>95672.12</v>
      </c>
      <c r="F26" s="219"/>
      <c r="G26" s="54"/>
      <c r="H26" s="55"/>
      <c r="I26" s="56"/>
      <c r="J26" s="211"/>
      <c r="K26" s="58"/>
      <c r="N26" s="290"/>
    </row>
    <row r="27" spans="1:18">
      <c r="B27" s="202" t="s">
        <v>163</v>
      </c>
      <c r="C27" s="203"/>
      <c r="D27" s="204"/>
      <c r="E27" s="234">
        <v>0</v>
      </c>
      <c r="F27" s="150">
        <f>+F19-E26</f>
        <v>138310.69</v>
      </c>
      <c r="G27" s="377" t="s">
        <v>5</v>
      </c>
      <c r="H27" s="378"/>
      <c r="I27" s="59"/>
      <c r="J27" s="60"/>
      <c r="K27" s="45"/>
      <c r="N27" s="290"/>
      <c r="Q27" s="155"/>
      <c r="R27" s="155"/>
    </row>
    <row r="28" spans="1:18">
      <c r="B28" s="199" t="s">
        <v>22</v>
      </c>
      <c r="C28" s="200"/>
      <c r="D28" s="201"/>
      <c r="E28" s="234">
        <v>0</v>
      </c>
      <c r="F28" s="289">
        <f>SUM(E26:E32)</f>
        <v>275751</v>
      </c>
      <c r="G28" s="22">
        <v>4195.6499999999996</v>
      </c>
      <c r="H28" s="62" t="s">
        <v>9</v>
      </c>
      <c r="I28" s="59"/>
      <c r="J28" s="60"/>
      <c r="K28" s="45"/>
      <c r="N28" s="290"/>
      <c r="P28" s="155"/>
      <c r="R28" s="155"/>
    </row>
    <row r="29" spans="1:18">
      <c r="B29" s="199" t="s">
        <v>64</v>
      </c>
      <c r="C29" s="200"/>
      <c r="D29" s="201"/>
      <c r="E29" s="234">
        <v>0</v>
      </c>
      <c r="F29" s="150">
        <f>+F27-F28</f>
        <v>-137440.31</v>
      </c>
      <c r="G29" s="22">
        <v>1710.65</v>
      </c>
      <c r="H29" s="62" t="s">
        <v>26</v>
      </c>
      <c r="I29" s="63"/>
      <c r="J29" s="64" t="s">
        <v>27</v>
      </c>
      <c r="K29" s="65" t="s">
        <v>28</v>
      </c>
      <c r="M29" s="291"/>
      <c r="N29" s="292"/>
    </row>
    <row r="30" spans="1:18">
      <c r="B30" s="199" t="s">
        <v>24</v>
      </c>
      <c r="C30" s="200"/>
      <c r="D30" s="201"/>
      <c r="E30" s="49">
        <v>0</v>
      </c>
      <c r="F30" s="228"/>
      <c r="G30" s="67">
        <v>1914.6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1:18" ht="15" thickBot="1">
      <c r="B31" s="344" t="s">
        <v>69</v>
      </c>
      <c r="C31" s="345"/>
      <c r="D31" s="346"/>
      <c r="E31" s="234">
        <v>0</v>
      </c>
      <c r="F31" s="219"/>
      <c r="G31" s="71">
        <v>7304.02</v>
      </c>
      <c r="H31" s="72" t="s">
        <v>12</v>
      </c>
      <c r="I31" s="73"/>
      <c r="J31" s="74" t="s">
        <v>32</v>
      </c>
      <c r="K31" s="75" t="s">
        <v>33</v>
      </c>
    </row>
    <row r="32" spans="1:18" ht="15" thickBot="1">
      <c r="B32" s="363" t="s">
        <v>29</v>
      </c>
      <c r="C32" s="364"/>
      <c r="D32" s="365"/>
      <c r="E32" s="66">
        <f>+F48</f>
        <v>180078.88</v>
      </c>
      <c r="F32" s="219"/>
      <c r="N32" s="269"/>
      <c r="P32" s="155"/>
      <c r="R32" s="155"/>
    </row>
    <row r="33" spans="2:18">
      <c r="E33" s="61"/>
      <c r="F33" s="219"/>
    </row>
    <row r="34" spans="2:18">
      <c r="E34" s="61"/>
      <c r="F34" s="219"/>
      <c r="H34" s="61"/>
      <c r="I34" s="61"/>
      <c r="J34" s="39"/>
      <c r="K34" s="61"/>
      <c r="N34" s="269"/>
      <c r="P34" s="155"/>
      <c r="R34" s="155"/>
    </row>
    <row r="35" spans="2:18">
      <c r="E35" s="61"/>
      <c r="F35" s="219"/>
      <c r="G35" s="8"/>
      <c r="H35" s="61"/>
      <c r="I35" s="61"/>
      <c r="J35" s="39"/>
      <c r="K35" s="61"/>
    </row>
    <row r="36" spans="2:18">
      <c r="E36" s="61"/>
      <c r="F36" s="219"/>
      <c r="G36" s="8"/>
      <c r="H36" s="13"/>
      <c r="I36" s="61"/>
      <c r="J36" s="13"/>
      <c r="K36" s="83"/>
      <c r="L36" s="61"/>
      <c r="M36" s="61"/>
      <c r="N36" s="269"/>
      <c r="P36" s="155"/>
      <c r="R36" s="155"/>
    </row>
    <row r="37" spans="2:18">
      <c r="B37" s="61"/>
      <c r="C37" s="61"/>
      <c r="D37" s="61"/>
      <c r="E37" s="78" t="s">
        <v>401</v>
      </c>
      <c r="F37" s="297"/>
      <c r="G37" s="181"/>
      <c r="H37" s="161"/>
      <c r="I37" s="197"/>
      <c r="J37" s="13"/>
      <c r="K37" s="83"/>
      <c r="L37" s="61"/>
      <c r="M37" s="61"/>
    </row>
    <row r="38" spans="2:18" s="61" customFormat="1" ht="15" customHeight="1">
      <c r="E38" s="78"/>
      <c r="F38" s="297"/>
      <c r="G38" s="86"/>
      <c r="I38" s="197"/>
      <c r="J38" s="13"/>
      <c r="K38" s="83"/>
      <c r="L38" s="88"/>
      <c r="N38" s="272"/>
      <c r="P38" s="273"/>
      <c r="R38" s="273"/>
    </row>
    <row r="39" spans="2:18" s="61" customFormat="1" ht="15" customHeight="1">
      <c r="E39" s="83" t="s">
        <v>34</v>
      </c>
      <c r="F39" s="297">
        <f>F19</f>
        <v>233982.81</v>
      </c>
      <c r="G39" s="86"/>
      <c r="H39" s="161"/>
      <c r="I39" s="197"/>
      <c r="J39" s="13"/>
      <c r="K39" s="85"/>
      <c r="L39" s="161"/>
      <c r="M39" s="197"/>
    </row>
    <row r="40" spans="2:18" s="61" customFormat="1" ht="15" customHeight="1">
      <c r="E40" s="83" t="s">
        <v>35</v>
      </c>
      <c r="F40" s="297">
        <f>+E19</f>
        <v>15124.92</v>
      </c>
      <c r="G40" s="86"/>
      <c r="I40" s="214"/>
      <c r="J40" s="13"/>
      <c r="K40" s="87"/>
      <c r="L40" s="161"/>
      <c r="M40" s="197"/>
      <c r="N40" s="272"/>
      <c r="P40" s="273"/>
      <c r="R40" s="273"/>
    </row>
    <row r="41" spans="2:18" s="61" customFormat="1" ht="15" customHeight="1">
      <c r="E41" s="83" t="s">
        <v>36</v>
      </c>
      <c r="F41" s="297">
        <v>0</v>
      </c>
      <c r="G41" s="9"/>
      <c r="I41" s="197"/>
      <c r="J41" s="13"/>
      <c r="M41" s="197"/>
    </row>
    <row r="42" spans="2:18" s="61" customFormat="1" ht="15" customHeight="1">
      <c r="E42" s="83" t="s">
        <v>37</v>
      </c>
      <c r="F42" s="297">
        <v>0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85" t="s">
        <v>38</v>
      </c>
      <c r="F43" s="231">
        <f>SUM(F39:F42)</f>
        <v>249107.73</v>
      </c>
      <c r="G43" s="9"/>
      <c r="H43" s="163"/>
      <c r="I43" s="229"/>
      <c r="J43" s="13"/>
      <c r="M43" s="197"/>
    </row>
    <row r="44" spans="2:18" s="61" customFormat="1" ht="15" customHeight="1">
      <c r="E44" s="87"/>
      <c r="F44" s="232"/>
      <c r="G44" s="9"/>
      <c r="H44" s="165"/>
      <c r="I44" s="230"/>
      <c r="J44" s="13"/>
      <c r="M44" s="197"/>
      <c r="N44" s="272"/>
      <c r="P44" s="273"/>
      <c r="R44" s="273"/>
    </row>
    <row r="45" spans="2:18" s="61" customFormat="1" ht="15" customHeight="1">
      <c r="E45" s="87" t="s">
        <v>152</v>
      </c>
      <c r="F45" s="232">
        <v>270000</v>
      </c>
      <c r="G45" s="9"/>
      <c r="H45" s="165"/>
      <c r="I45" s="230"/>
      <c r="J45" s="13"/>
      <c r="M45" s="197"/>
      <c r="N45" s="272"/>
      <c r="P45" s="273"/>
      <c r="R45" s="273"/>
    </row>
    <row r="46" spans="2:18" s="61" customFormat="1" ht="15" customHeight="1">
      <c r="E46" s="87" t="s">
        <v>116</v>
      </c>
      <c r="F46" s="232">
        <v>29000</v>
      </c>
      <c r="G46" s="9"/>
      <c r="H46" s="165"/>
      <c r="I46" s="230"/>
      <c r="J46" s="13"/>
      <c r="M46" s="197"/>
      <c r="N46" s="272"/>
      <c r="P46" s="273"/>
      <c r="R46" s="273"/>
    </row>
    <row r="47" spans="2:18" s="61" customFormat="1" ht="15" customHeight="1">
      <c r="E47" s="87" t="s">
        <v>52</v>
      </c>
      <c r="F47" s="232">
        <v>40000</v>
      </c>
      <c r="G47" s="9"/>
      <c r="H47" s="165"/>
      <c r="I47" s="230"/>
      <c r="J47" s="13"/>
      <c r="M47" s="197"/>
      <c r="N47" s="272"/>
      <c r="P47" s="273"/>
      <c r="R47" s="273"/>
    </row>
    <row r="48" spans="2:18" s="61" customFormat="1" ht="15" customHeight="1">
      <c r="E48" s="87" t="s">
        <v>53</v>
      </c>
      <c r="F48" s="232">
        <f>70948.93+109129.95</f>
        <v>180078.88</v>
      </c>
      <c r="G48" s="9"/>
      <c r="H48" s="165"/>
      <c r="I48" s="230"/>
      <c r="J48" s="13"/>
      <c r="M48" s="197"/>
      <c r="N48" s="272"/>
      <c r="P48" s="273"/>
      <c r="R48" s="273"/>
    </row>
    <row r="49" spans="2:18" s="61" customFormat="1" ht="15" customHeight="1">
      <c r="E49" s="87" t="s">
        <v>398</v>
      </c>
      <c r="F49" s="232">
        <v>40000</v>
      </c>
      <c r="G49" s="9"/>
      <c r="H49" s="165"/>
      <c r="I49" s="230"/>
      <c r="J49" s="13"/>
      <c r="M49" s="197"/>
      <c r="N49" s="272"/>
      <c r="P49" s="273"/>
      <c r="R49" s="273"/>
    </row>
    <row r="50" spans="2:18" s="61" customFormat="1" ht="15" customHeight="1">
      <c r="E50" s="91" t="s">
        <v>24</v>
      </c>
      <c r="F50" s="228">
        <f>15000+65000</f>
        <v>80000</v>
      </c>
      <c r="G50" s="8"/>
      <c r="H50" s="91"/>
      <c r="I50" s="231"/>
      <c r="J50" s="13"/>
    </row>
    <row r="51" spans="2:18" s="61" customFormat="1" ht="15" customHeight="1">
      <c r="E51" s="91" t="s">
        <v>22</v>
      </c>
      <c r="F51" s="228">
        <v>50000</v>
      </c>
      <c r="G51" s="8"/>
      <c r="H51" s="96"/>
      <c r="I51" s="231"/>
      <c r="J51" s="262"/>
    </row>
    <row r="52" spans="2:18" s="61" customFormat="1">
      <c r="E52" s="91" t="s">
        <v>40</v>
      </c>
      <c r="F52" s="232">
        <v>250000</v>
      </c>
      <c r="G52" s="82"/>
      <c r="H52" s="83"/>
      <c r="I52" s="228"/>
      <c r="J52" s="13"/>
    </row>
    <row r="53" spans="2:18" s="61" customFormat="1">
      <c r="E53" s="96" t="s">
        <v>41</v>
      </c>
      <c r="F53" s="231">
        <f>SUM(F45:F52)</f>
        <v>939078.88</v>
      </c>
      <c r="G53" s="82"/>
      <c r="H53" s="83"/>
      <c r="I53" s="233"/>
      <c r="J53" s="13"/>
    </row>
    <row r="54" spans="2:18" s="61" customFormat="1">
      <c r="E54" s="96" t="s">
        <v>42</v>
      </c>
      <c r="F54" s="231">
        <f>F43-F53</f>
        <v>-689971.15</v>
      </c>
      <c r="G54" s="82"/>
      <c r="H54" s="83"/>
      <c r="I54" s="233"/>
      <c r="J54" s="13"/>
    </row>
    <row r="55" spans="2:18" s="61" customFormat="1">
      <c r="E55" s="83"/>
      <c r="F55" s="151"/>
      <c r="G55" s="82"/>
      <c r="H55" s="83"/>
      <c r="I55" s="233"/>
      <c r="J55" s="13"/>
      <c r="L55" s="91"/>
      <c r="M55" s="232"/>
    </row>
    <row r="56" spans="2:18" s="61" customFormat="1">
      <c r="E56" s="83" t="s">
        <v>43</v>
      </c>
      <c r="F56" s="151">
        <v>0</v>
      </c>
      <c r="G56" s="82"/>
      <c r="H56" s="96"/>
      <c r="I56" s="228"/>
      <c r="J56" s="13"/>
      <c r="L56" s="91"/>
      <c r="M56" s="232"/>
    </row>
    <row r="57" spans="2:18" s="61" customFormat="1">
      <c r="E57" s="83" t="s">
        <v>44</v>
      </c>
      <c r="F57" s="151">
        <v>0</v>
      </c>
      <c r="G57" s="82"/>
      <c r="H57" s="96"/>
      <c r="I57" s="228"/>
      <c r="J57" s="13"/>
      <c r="L57" s="91"/>
      <c r="M57" s="232"/>
    </row>
    <row r="58" spans="2:18" s="61" customFormat="1">
      <c r="E58" s="83" t="s">
        <v>386</v>
      </c>
      <c r="F58" s="151">
        <v>3866.8</v>
      </c>
      <c r="G58" s="82"/>
      <c r="H58" s="83"/>
      <c r="I58" s="233"/>
      <c r="J58" s="13"/>
      <c r="L58" s="96"/>
      <c r="M58" s="231"/>
    </row>
    <row r="59" spans="2:18" s="61" customFormat="1">
      <c r="E59" s="83" t="s">
        <v>45</v>
      </c>
      <c r="F59" s="95">
        <v>993098.58</v>
      </c>
      <c r="G59" s="8"/>
      <c r="H59" s="96"/>
      <c r="I59" s="219"/>
      <c r="J59" s="13"/>
      <c r="L59" s="96"/>
      <c r="M59" s="233"/>
    </row>
    <row r="60" spans="2:18" s="61" customFormat="1">
      <c r="E60" s="82" t="s">
        <v>205</v>
      </c>
      <c r="F60" s="117">
        <v>491163.03</v>
      </c>
      <c r="G60" s="8"/>
      <c r="J60" s="13"/>
    </row>
    <row r="61" spans="2:18" s="61" customFormat="1">
      <c r="B61"/>
      <c r="C61"/>
      <c r="D61"/>
      <c r="E61" s="82" t="s">
        <v>206</v>
      </c>
      <c r="F61" s="117">
        <v>0</v>
      </c>
      <c r="G61" s="8"/>
      <c r="J61" s="13"/>
      <c r="L61" s="83"/>
      <c r="M61" s="228"/>
    </row>
    <row r="62" spans="2:18">
      <c r="E62" s="118" t="s">
        <v>46</v>
      </c>
      <c r="F62" s="120">
        <f>SUM(F56:F61)</f>
        <v>1488128.4100000001</v>
      </c>
      <c r="G62" s="8"/>
      <c r="L62" s="61"/>
      <c r="M62" s="61"/>
    </row>
    <row r="63" spans="2:18">
      <c r="E63" s="82"/>
      <c r="F63" s="80"/>
      <c r="G63" s="8"/>
      <c r="L63" s="61"/>
      <c r="M63" s="61"/>
    </row>
    <row r="64" spans="2:18">
      <c r="E64" s="118" t="s">
        <v>47</v>
      </c>
      <c r="F64" s="120">
        <f>F54-F62</f>
        <v>-2178099.56</v>
      </c>
      <c r="G64" s="8"/>
    </row>
    <row r="65" spans="1:7">
      <c r="D65" s="247" t="s">
        <v>192</v>
      </c>
      <c r="E65" s="8"/>
      <c r="F65" s="220"/>
      <c r="G65" s="8"/>
    </row>
    <row r="66" spans="1:7">
      <c r="D66" s="247" t="s">
        <v>194</v>
      </c>
      <c r="E66" s="8"/>
      <c r="F66" s="220"/>
      <c r="G66" s="8"/>
    </row>
    <row r="67" spans="1:7">
      <c r="D67" s="8" t="s">
        <v>9</v>
      </c>
      <c r="E67" s="8"/>
      <c r="F67" s="220"/>
      <c r="G67" s="124">
        <f>SUM(E75:F75)</f>
        <v>0</v>
      </c>
    </row>
    <row r="68" spans="1:7">
      <c r="D68" s="8" t="s">
        <v>195</v>
      </c>
      <c r="E68" s="61"/>
      <c r="F68" s="219"/>
      <c r="G68" s="8"/>
    </row>
    <row r="69" spans="1:7">
      <c r="D69" s="8" t="s">
        <v>188</v>
      </c>
      <c r="E69" s="243"/>
      <c r="F69" s="243"/>
      <c r="G69" s="8"/>
    </row>
    <row r="70" spans="1:7">
      <c r="D70" s="8"/>
      <c r="E70" s="243"/>
      <c r="F70" s="244"/>
    </row>
    <row r="71" spans="1:7">
      <c r="E71" s="245"/>
      <c r="F71" s="246"/>
    </row>
    <row r="72" spans="1:7">
      <c r="E72" s="245"/>
      <c r="F72" s="246"/>
    </row>
    <row r="73" spans="1:7">
      <c r="E73" s="249"/>
      <c r="F73" s="287"/>
    </row>
    <row r="74" spans="1:7">
      <c r="E74" s="124"/>
      <c r="F74" s="287"/>
    </row>
    <row r="75" spans="1:7">
      <c r="E75" s="8"/>
    </row>
    <row r="76" spans="1:7">
      <c r="E76" s="8"/>
    </row>
    <row r="77" spans="1:7">
      <c r="A77" s="268"/>
      <c r="E77" s="8"/>
    </row>
    <row r="78" spans="1:7">
      <c r="E78" s="8"/>
    </row>
    <row r="79" spans="1:7">
      <c r="B79" s="235"/>
      <c r="E79" s="8"/>
    </row>
    <row r="80" spans="1:7">
      <c r="E80" s="8"/>
    </row>
    <row r="81" spans="1:5">
      <c r="E81" s="293"/>
    </row>
    <row r="82" spans="1:5">
      <c r="C82" s="155"/>
      <c r="E82" s="8"/>
    </row>
    <row r="83" spans="1:5">
      <c r="A83" s="269"/>
      <c r="E83" s="293"/>
    </row>
    <row r="84" spans="1:5">
      <c r="C84" s="155"/>
      <c r="E84" s="8"/>
    </row>
    <row r="85" spans="1:5">
      <c r="A85" s="269"/>
      <c r="E85" s="293"/>
    </row>
    <row r="86" spans="1:5">
      <c r="C86" s="155"/>
      <c r="E86" s="8"/>
    </row>
    <row r="87" spans="1:5">
      <c r="A87" s="269"/>
      <c r="E87" s="293"/>
    </row>
    <row r="88" spans="1:5">
      <c r="C88" s="155"/>
      <c r="E88" s="8"/>
    </row>
    <row r="89" spans="1:5">
      <c r="A89" s="269"/>
      <c r="E89" s="293"/>
    </row>
    <row r="90" spans="1:5">
      <c r="C90" s="155"/>
      <c r="E90" s="8"/>
    </row>
    <row r="91" spans="1:5">
      <c r="A91" s="269"/>
      <c r="E91" s="293"/>
    </row>
    <row r="92" spans="1:5">
      <c r="C92" s="155"/>
      <c r="E92" s="8"/>
    </row>
    <row r="93" spans="1:5">
      <c r="A93" s="269"/>
      <c r="E93" s="293"/>
    </row>
    <row r="94" spans="1:5">
      <c r="C94" s="155"/>
      <c r="E94" s="8"/>
    </row>
    <row r="95" spans="1:5">
      <c r="A95" s="269"/>
      <c r="E95" s="293"/>
    </row>
    <row r="96" spans="1:5">
      <c r="C96" s="155"/>
      <c r="E96" s="8"/>
    </row>
    <row r="97" spans="1:5">
      <c r="A97" s="269"/>
      <c r="E97" s="293"/>
    </row>
    <row r="98" spans="1:5">
      <c r="C98" s="155"/>
      <c r="E98" s="8"/>
    </row>
    <row r="99" spans="1:5">
      <c r="A99" s="269"/>
      <c r="E99" s="293"/>
    </row>
    <row r="100" spans="1:5">
      <c r="C100" s="155"/>
      <c r="E100" s="8"/>
    </row>
    <row r="101" spans="1:5">
      <c r="A101" s="269"/>
      <c r="E101" s="293"/>
    </row>
    <row r="102" spans="1:5">
      <c r="C102" s="155"/>
      <c r="E102" s="8"/>
    </row>
    <row r="103" spans="1:5">
      <c r="A103" s="269"/>
      <c r="E103" s="293"/>
    </row>
    <row r="104" spans="1:5">
      <c r="C104" s="155"/>
      <c r="E104" s="8"/>
    </row>
    <row r="105" spans="1:5">
      <c r="A105" s="269"/>
      <c r="E105" s="293"/>
    </row>
    <row r="106" spans="1:5">
      <c r="C106" s="155"/>
      <c r="E106" s="8"/>
    </row>
    <row r="107" spans="1:5">
      <c r="A107" s="269"/>
      <c r="E107" s="293"/>
    </row>
    <row r="108" spans="1:5">
      <c r="C108" s="155"/>
      <c r="E108" s="8"/>
    </row>
    <row r="109" spans="1:5">
      <c r="A109" s="269"/>
      <c r="E109" s="293"/>
    </row>
    <row r="110" spans="1:5">
      <c r="C110" s="155"/>
      <c r="E110" s="8"/>
    </row>
    <row r="111" spans="1:5">
      <c r="A111" s="269"/>
      <c r="E111" s="293"/>
    </row>
    <row r="112" spans="1:5">
      <c r="C112" s="155"/>
      <c r="E112" s="8"/>
    </row>
    <row r="113" spans="1:5">
      <c r="A113" s="269"/>
      <c r="E113" s="277"/>
    </row>
    <row r="114" spans="1:5">
      <c r="C114" s="155"/>
      <c r="E114" s="79"/>
    </row>
    <row r="115" spans="1:5">
      <c r="A115" s="269"/>
      <c r="E115" s="277"/>
    </row>
    <row r="116" spans="1:5">
      <c r="C116" s="155"/>
      <c r="E116" s="79"/>
    </row>
    <row r="117" spans="1:5">
      <c r="A117" s="269"/>
      <c r="E117" s="277"/>
    </row>
    <row r="118" spans="1:5">
      <c r="C118" s="155"/>
      <c r="E118" s="79"/>
    </row>
    <row r="119" spans="1:5">
      <c r="A119" s="269"/>
      <c r="E119" s="277"/>
    </row>
    <row r="120" spans="1:5">
      <c r="C120" s="155"/>
      <c r="E120" s="79"/>
    </row>
    <row r="121" spans="1:5">
      <c r="A121" s="269"/>
      <c r="E121" s="277"/>
    </row>
    <row r="122" spans="1:5">
      <c r="C122" s="155"/>
      <c r="E122" s="79"/>
    </row>
    <row r="123" spans="1:5">
      <c r="A123" s="269"/>
      <c r="E123" s="277"/>
    </row>
    <row r="124" spans="1:5">
      <c r="C124" s="155"/>
      <c r="E124" s="79"/>
    </row>
    <row r="125" spans="1:5">
      <c r="A125" s="269"/>
      <c r="E125" s="277"/>
    </row>
    <row r="126" spans="1:5">
      <c r="C126" s="155"/>
    </row>
    <row r="127" spans="1:5">
      <c r="A127" s="269"/>
      <c r="E127" s="155"/>
    </row>
    <row r="128" spans="1:5">
      <c r="C128" s="155"/>
    </row>
    <row r="129" spans="1:5">
      <c r="A129" s="269"/>
      <c r="E129" s="155"/>
    </row>
    <row r="130" spans="1:5">
      <c r="C130" s="155"/>
    </row>
    <row r="131" spans="1:5">
      <c r="A131" s="269"/>
      <c r="E131" s="155"/>
    </row>
    <row r="132" spans="1:5">
      <c r="C132" s="155"/>
    </row>
    <row r="133" spans="1:5">
      <c r="A133" s="269"/>
      <c r="E133" s="155"/>
    </row>
    <row r="134" spans="1:5">
      <c r="C134" s="155"/>
    </row>
    <row r="135" spans="1:5">
      <c r="A135" s="269"/>
      <c r="E135" s="155"/>
    </row>
    <row r="136" spans="1:5">
      <c r="C136" s="155"/>
    </row>
    <row r="137" spans="1:5">
      <c r="A137" s="269"/>
      <c r="E137" s="155"/>
    </row>
    <row r="138" spans="1:5">
      <c r="C138" s="155"/>
    </row>
    <row r="139" spans="1:5">
      <c r="A139" s="269"/>
      <c r="E139" s="155"/>
    </row>
    <row r="140" spans="1:5">
      <c r="C140" s="155"/>
    </row>
    <row r="141" spans="1:5">
      <c r="A141" s="269"/>
      <c r="E141" s="155"/>
    </row>
    <row r="142" spans="1:5">
      <c r="C142" s="155"/>
    </row>
    <row r="143" spans="1:5">
      <c r="A143" s="269"/>
      <c r="E143" s="155"/>
    </row>
    <row r="144" spans="1:5">
      <c r="C144" s="155"/>
    </row>
    <row r="145" spans="1:5">
      <c r="A145" s="269"/>
      <c r="E145" s="155"/>
    </row>
    <row r="146" spans="1:5">
      <c r="C146" s="155"/>
    </row>
    <row r="147" spans="1:5">
      <c r="A147" s="269"/>
      <c r="E147" s="155"/>
    </row>
    <row r="148" spans="1:5">
      <c r="C148" s="155"/>
    </row>
    <row r="149" spans="1:5">
      <c r="A149" s="269"/>
      <c r="E149" s="155"/>
    </row>
    <row r="150" spans="1:5">
      <c r="C150" s="155"/>
    </row>
    <row r="151" spans="1:5">
      <c r="A151" s="269"/>
      <c r="E151" s="155"/>
    </row>
    <row r="152" spans="1:5">
      <c r="C152" s="155"/>
    </row>
    <row r="153" spans="1:5">
      <c r="A153" s="269"/>
      <c r="E153" s="155"/>
    </row>
    <row r="154" spans="1:5">
      <c r="C154" s="155"/>
    </row>
    <row r="155" spans="1:5">
      <c r="A155" s="269"/>
      <c r="E155" s="155"/>
    </row>
    <row r="156" spans="1:5">
      <c r="C156" s="155"/>
    </row>
    <row r="157" spans="1:5">
      <c r="A157" s="269"/>
      <c r="E157" s="155"/>
    </row>
    <row r="158" spans="1:5">
      <c r="C158" s="155"/>
    </row>
    <row r="159" spans="1:5">
      <c r="A159" s="269"/>
      <c r="E159" s="155"/>
    </row>
    <row r="160" spans="1:5">
      <c r="C160" s="155"/>
    </row>
    <row r="161" spans="1:5">
      <c r="A161" s="269"/>
      <c r="E161" s="155"/>
    </row>
    <row r="162" spans="1:5">
      <c r="C162" s="155"/>
    </row>
    <row r="163" spans="1:5">
      <c r="A163" s="269"/>
      <c r="E163" s="155"/>
    </row>
    <row r="164" spans="1:5">
      <c r="C164" s="155"/>
    </row>
    <row r="165" spans="1:5">
      <c r="A165" s="269"/>
      <c r="E165" s="155"/>
    </row>
    <row r="166" spans="1:5">
      <c r="C166" s="155"/>
    </row>
    <row r="167" spans="1:5">
      <c r="A167" s="269"/>
      <c r="E167" s="155"/>
    </row>
    <row r="168" spans="1:5">
      <c r="C168" s="155"/>
    </row>
    <row r="169" spans="1:5">
      <c r="A169" s="269"/>
      <c r="E169" s="155"/>
    </row>
    <row r="170" spans="1:5">
      <c r="C170" s="155"/>
    </row>
    <row r="171" spans="1:5">
      <c r="A171" s="269"/>
      <c r="E171" s="155"/>
    </row>
    <row r="172" spans="1:5">
      <c r="C172" s="155"/>
    </row>
    <row r="173" spans="1:5">
      <c r="A173" s="269"/>
      <c r="E173" s="155"/>
    </row>
    <row r="174" spans="1:5">
      <c r="C174" s="155"/>
    </row>
    <row r="175" spans="1:5">
      <c r="A175" s="269"/>
      <c r="E175" s="155"/>
    </row>
    <row r="176" spans="1:5">
      <c r="C176" s="155"/>
    </row>
    <row r="177" spans="1:5">
      <c r="A177" s="269"/>
      <c r="E177" s="155"/>
    </row>
    <row r="178" spans="1:5">
      <c r="C178" s="155"/>
    </row>
    <row r="179" spans="1:5">
      <c r="A179" s="269"/>
      <c r="E179" s="155"/>
    </row>
    <row r="180" spans="1:5">
      <c r="C180" s="155"/>
    </row>
    <row r="181" spans="1:5">
      <c r="A181" s="269"/>
      <c r="E181" s="155"/>
    </row>
    <row r="182" spans="1:5">
      <c r="C182" s="155"/>
    </row>
    <row r="183" spans="1:5">
      <c r="A183" s="269"/>
      <c r="E183" s="155"/>
    </row>
    <row r="184" spans="1:5">
      <c r="C184" s="155"/>
    </row>
    <row r="185" spans="1:5">
      <c r="A185" s="269"/>
      <c r="E185" s="155"/>
    </row>
    <row r="186" spans="1:5">
      <c r="C186" s="155"/>
    </row>
    <row r="187" spans="1:5">
      <c r="A187" s="269"/>
      <c r="E187" s="155"/>
    </row>
    <row r="188" spans="1:5">
      <c r="C188" s="155"/>
    </row>
    <row r="189" spans="1:5">
      <c r="A189" s="269"/>
      <c r="E189" s="155"/>
    </row>
    <row r="190" spans="1:5">
      <c r="C190" s="155"/>
    </row>
    <row r="191" spans="1:5">
      <c r="A191" s="269"/>
      <c r="E191" s="155"/>
    </row>
    <row r="192" spans="1:5">
      <c r="C192" s="155"/>
    </row>
    <row r="193" spans="1:5">
      <c r="A193" s="269"/>
      <c r="E193" s="155"/>
    </row>
    <row r="194" spans="1:5">
      <c r="C194" s="155"/>
    </row>
    <row r="195" spans="1:5">
      <c r="A195" s="269"/>
      <c r="E195" s="155"/>
    </row>
    <row r="196" spans="1:5">
      <c r="C196" s="155"/>
    </row>
    <row r="197" spans="1:5">
      <c r="A197" s="269"/>
      <c r="E197" s="155"/>
    </row>
    <row r="198" spans="1:5">
      <c r="C198" s="155"/>
    </row>
    <row r="199" spans="1:5">
      <c r="A199" s="269"/>
      <c r="E199" s="155"/>
    </row>
    <row r="200" spans="1:5">
      <c r="C200" s="155"/>
    </row>
    <row r="201" spans="1:5">
      <c r="A201" s="269"/>
      <c r="E201" s="155"/>
    </row>
    <row r="202" spans="1:5">
      <c r="D202" s="155"/>
    </row>
    <row r="203" spans="1:5">
      <c r="A203" s="269"/>
      <c r="E203" s="155"/>
    </row>
    <row r="204" spans="1:5">
      <c r="C204" s="155"/>
    </row>
    <row r="205" spans="1:5">
      <c r="A205" s="269"/>
      <c r="E205" s="155"/>
    </row>
    <row r="206" spans="1:5">
      <c r="C206" s="155"/>
    </row>
    <row r="207" spans="1:5">
      <c r="A207" s="269"/>
      <c r="E207" s="155"/>
    </row>
    <row r="208" spans="1:5">
      <c r="C208" s="155"/>
    </row>
    <row r="209" spans="1:5">
      <c r="A209" s="269"/>
      <c r="E209" s="155"/>
    </row>
    <row r="210" spans="1:5">
      <c r="C210" s="155"/>
    </row>
    <row r="211" spans="1:5">
      <c r="A211" s="269"/>
      <c r="E211" s="155"/>
    </row>
    <row r="212" spans="1:5">
      <c r="C212" s="155"/>
    </row>
    <row r="213" spans="1:5">
      <c r="A213" s="269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57EA6-FA39-458F-BA42-5A808FA378B6}">
  <dimension ref="A6:R213"/>
  <sheetViews>
    <sheetView showGridLines="0" topLeftCell="A23" workbookViewId="0">
      <selection activeCell="A23" sqref="A1:XFD1048576"/>
    </sheetView>
  </sheetViews>
  <sheetFormatPr baseColWidth="10" defaultRowHeight="14.5"/>
  <cols>
    <col min="2" max="2" width="16.54296875" customWidth="1"/>
    <col min="4" max="4" width="22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3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3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3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3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3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3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  <c r="M11" s="235"/>
    </row>
    <row r="12" spans="1:13" ht="19" thickBot="1">
      <c r="A12" s="1"/>
      <c r="B12" s="331" t="s">
        <v>2</v>
      </c>
      <c r="C12" s="332"/>
      <c r="D12" s="332"/>
      <c r="E12" s="333"/>
      <c r="F12" s="295"/>
      <c r="G12" s="296"/>
      <c r="H12" s="1"/>
      <c r="I12" s="1"/>
      <c r="J12" s="76"/>
      <c r="K12" s="1"/>
    </row>
    <row r="13" spans="1:13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  <c r="M13" s="235"/>
    </row>
    <row r="14" spans="1:13" ht="18" thickBot="1">
      <c r="A14" s="11"/>
      <c r="B14" s="334" t="s">
        <v>3</v>
      </c>
      <c r="C14" s="335"/>
      <c r="D14" s="336"/>
      <c r="E14" s="17">
        <f>SUM(E15:E17)</f>
        <v>254446.18</v>
      </c>
      <c r="F14" s="264"/>
      <c r="G14" s="331" t="s">
        <v>4</v>
      </c>
      <c r="H14" s="332"/>
      <c r="I14" s="332"/>
      <c r="J14" s="332"/>
      <c r="K14" s="333"/>
      <c r="L14" s="13"/>
    </row>
    <row r="15" spans="1:13">
      <c r="A15" s="1"/>
      <c r="B15" s="337" t="s">
        <v>5</v>
      </c>
      <c r="C15" s="338"/>
      <c r="D15" s="339"/>
      <c r="E15" s="20">
        <f>J16+J17+J18+J19</f>
        <v>103694.68</v>
      </c>
      <c r="F15" s="153"/>
      <c r="G15" s="340" t="s">
        <v>6</v>
      </c>
      <c r="H15" s="341"/>
      <c r="I15" s="21"/>
      <c r="J15" s="342" t="s">
        <v>5</v>
      </c>
      <c r="K15" s="343"/>
      <c r="L15" s="13"/>
      <c r="M15" s="235"/>
    </row>
    <row r="16" spans="1:13">
      <c r="A16" s="1"/>
      <c r="B16" s="349" t="s">
        <v>7</v>
      </c>
      <c r="C16" s="350"/>
      <c r="D16" s="351"/>
      <c r="E16" s="20">
        <f>G22+G23</f>
        <v>43853.61</v>
      </c>
      <c r="F16" s="153"/>
      <c r="G16" s="22">
        <v>18794.22</v>
      </c>
      <c r="H16" s="23" t="s">
        <v>8</v>
      </c>
      <c r="I16" s="24"/>
      <c r="J16" s="25">
        <v>21389.08</v>
      </c>
      <c r="K16" s="26" t="s">
        <v>9</v>
      </c>
      <c r="L16" s="19"/>
    </row>
    <row r="17" spans="1:18">
      <c r="A17" s="1"/>
      <c r="B17" s="352" t="s">
        <v>6</v>
      </c>
      <c r="C17" s="353"/>
      <c r="D17" s="354"/>
      <c r="E17" s="28">
        <f>G16+G17+G18</f>
        <v>106897.89</v>
      </c>
      <c r="F17" s="153">
        <f>E15+E16+E17</f>
        <v>254446.18</v>
      </c>
      <c r="G17" s="22">
        <v>20808.009999999998</v>
      </c>
      <c r="H17" s="29" t="s">
        <v>10</v>
      </c>
      <c r="I17" s="30"/>
      <c r="J17" s="25">
        <v>21035.65</v>
      </c>
      <c r="K17" s="31" t="s">
        <v>10</v>
      </c>
      <c r="L17" s="13"/>
    </row>
    <row r="18" spans="1:18">
      <c r="A18" s="1"/>
      <c r="B18" s="236" t="s">
        <v>187</v>
      </c>
      <c r="C18" s="237"/>
      <c r="D18" s="238"/>
      <c r="E18" s="28">
        <f>+J22</f>
        <v>20822.95</v>
      </c>
      <c r="F18" s="153">
        <v>180000</v>
      </c>
      <c r="G18" s="22">
        <v>67295.66</v>
      </c>
      <c r="H18" s="29" t="s">
        <v>12</v>
      </c>
      <c r="I18" s="30"/>
      <c r="J18" s="25">
        <v>24525.96</v>
      </c>
      <c r="K18" s="31" t="s">
        <v>12</v>
      </c>
      <c r="L18" s="13"/>
      <c r="N18" s="3"/>
    </row>
    <row r="19" spans="1:18">
      <c r="B19" s="379" t="s">
        <v>11</v>
      </c>
      <c r="C19" s="380"/>
      <c r="D19" s="381"/>
      <c r="E19" s="20">
        <f>G29+G31+G30+G28</f>
        <v>15128.48</v>
      </c>
      <c r="F19" s="153">
        <f>+F17-F18</f>
        <v>74446.179999999993</v>
      </c>
      <c r="G19" s="33"/>
      <c r="H19" s="34"/>
      <c r="I19" s="30"/>
      <c r="J19" s="25">
        <v>36743.99</v>
      </c>
      <c r="K19" s="31" t="s">
        <v>14</v>
      </c>
      <c r="N19" s="3"/>
    </row>
    <row r="20" spans="1:18">
      <c r="B20" s="344" t="s">
        <v>13</v>
      </c>
      <c r="C20" s="345"/>
      <c r="D20" s="346"/>
      <c r="E20" s="20">
        <f>14642166.23-E23</f>
        <v>14595904.35</v>
      </c>
      <c r="F20" s="153"/>
      <c r="G20" s="239"/>
      <c r="H20" s="240"/>
      <c r="I20" s="30"/>
      <c r="J20" s="25"/>
      <c r="K20" s="31"/>
      <c r="L20" s="152"/>
      <c r="N20" s="3"/>
    </row>
    <row r="21" spans="1:18">
      <c r="B21" s="187" t="s">
        <v>15</v>
      </c>
      <c r="C21" s="188"/>
      <c r="D21" s="189"/>
      <c r="E21" s="190">
        <f>SUM(E22:E25)</f>
        <v>50611.88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  <c r="N21" s="268"/>
    </row>
    <row r="22" spans="1:18" ht="15" customHeight="1">
      <c r="B22" s="303"/>
      <c r="C22" s="304"/>
      <c r="D22" s="308" t="s">
        <v>402</v>
      </c>
      <c r="E22" s="190">
        <v>4350</v>
      </c>
      <c r="F22" s="153"/>
      <c r="G22" s="44">
        <v>17362.439999999999</v>
      </c>
      <c r="H22" s="29" t="s">
        <v>10</v>
      </c>
      <c r="I22" s="30"/>
      <c r="J22" s="25">
        <v>20822.95</v>
      </c>
      <c r="K22" s="31" t="s">
        <v>188</v>
      </c>
      <c r="L22" s="294"/>
      <c r="M22" s="294"/>
    </row>
    <row r="23" spans="1:18" ht="15" customHeight="1">
      <c r="B23" s="301"/>
      <c r="C23" s="302"/>
      <c r="D23" s="308" t="s">
        <v>93</v>
      </c>
      <c r="E23" s="190">
        <v>46261.88</v>
      </c>
      <c r="F23" s="153"/>
      <c r="G23" s="44">
        <v>26491.17</v>
      </c>
      <c r="H23" s="29" t="s">
        <v>18</v>
      </c>
      <c r="I23" s="30"/>
      <c r="J23" s="25"/>
      <c r="K23" s="31"/>
      <c r="L23" s="294"/>
      <c r="M23" s="294"/>
    </row>
    <row r="24" spans="1:18" ht="15" thickBot="1">
      <c r="B24" s="187"/>
      <c r="C24" s="188"/>
      <c r="D24" s="198"/>
      <c r="E24" s="190">
        <v>0</v>
      </c>
      <c r="F24" s="153"/>
      <c r="G24" s="51"/>
      <c r="H24" s="34"/>
      <c r="I24" s="30"/>
      <c r="J24" s="210"/>
      <c r="K24" s="53"/>
      <c r="L24" s="294"/>
      <c r="M24" s="294"/>
      <c r="O24" s="235"/>
    </row>
    <row r="25" spans="1:18" ht="15" thickBot="1">
      <c r="B25" s="187"/>
      <c r="C25" s="188"/>
      <c r="D25" s="198"/>
      <c r="E25" s="190">
        <v>0</v>
      </c>
      <c r="F25" s="153"/>
      <c r="G25" s="331" t="s">
        <v>21</v>
      </c>
      <c r="H25" s="332"/>
      <c r="I25" s="332"/>
      <c r="J25" s="332"/>
      <c r="K25" s="333"/>
    </row>
    <row r="26" spans="1:18">
      <c r="B26" s="202" t="s">
        <v>17</v>
      </c>
      <c r="C26" s="203"/>
      <c r="D26" s="204"/>
      <c r="E26" s="234">
        <v>0</v>
      </c>
      <c r="F26" s="220"/>
      <c r="G26" s="54"/>
      <c r="H26" s="55"/>
      <c r="I26" s="56"/>
      <c r="J26" s="211"/>
      <c r="K26" s="58"/>
      <c r="N26" s="290"/>
    </row>
    <row r="27" spans="1:18">
      <c r="B27" s="202" t="s">
        <v>163</v>
      </c>
      <c r="C27" s="203"/>
      <c r="D27" s="204"/>
      <c r="E27" s="234">
        <v>0</v>
      </c>
      <c r="F27" s="153">
        <f>+F19-E26</f>
        <v>74446.179999999993</v>
      </c>
      <c r="G27" s="377" t="s">
        <v>5</v>
      </c>
      <c r="H27" s="378"/>
      <c r="I27" s="59"/>
      <c r="J27" s="60"/>
      <c r="K27" s="45"/>
      <c r="N27" s="290"/>
      <c r="Q27" s="155"/>
      <c r="R27" s="155"/>
    </row>
    <row r="28" spans="1:18">
      <c r="B28" s="199" t="s">
        <v>22</v>
      </c>
      <c r="C28" s="200"/>
      <c r="D28" s="201"/>
      <c r="E28" s="234">
        <v>0</v>
      </c>
      <c r="F28" s="288">
        <f>SUM(E26:E32)</f>
        <v>0</v>
      </c>
      <c r="G28" s="22">
        <v>4196.75</v>
      </c>
      <c r="H28" s="62" t="s">
        <v>9</v>
      </c>
      <c r="I28" s="59"/>
      <c r="J28" s="60"/>
      <c r="K28" s="45"/>
      <c r="N28" s="290"/>
      <c r="P28" s="155"/>
      <c r="R28" s="155"/>
    </row>
    <row r="29" spans="1:18">
      <c r="B29" s="199" t="s">
        <v>64</v>
      </c>
      <c r="C29" s="200"/>
      <c r="D29" s="201"/>
      <c r="E29" s="234">
        <v>0</v>
      </c>
      <c r="F29" s="153">
        <f>+F27-F28</f>
        <v>74446.179999999993</v>
      </c>
      <c r="G29" s="22">
        <v>1710.81</v>
      </c>
      <c r="H29" s="62" t="s">
        <v>26</v>
      </c>
      <c r="I29" s="63"/>
      <c r="J29" s="64" t="s">
        <v>27</v>
      </c>
      <c r="K29" s="65" t="s">
        <v>28</v>
      </c>
      <c r="M29" s="291"/>
      <c r="N29" s="292"/>
    </row>
    <row r="30" spans="1:18">
      <c r="B30" s="199" t="s">
        <v>24</v>
      </c>
      <c r="C30" s="200"/>
      <c r="D30" s="201"/>
      <c r="E30" s="49">
        <v>0</v>
      </c>
      <c r="F30" s="221"/>
      <c r="G30" s="67">
        <v>1914.96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1:18" ht="15" thickBot="1">
      <c r="B31" s="344" t="s">
        <v>69</v>
      </c>
      <c r="C31" s="345"/>
      <c r="D31" s="346"/>
      <c r="E31" s="234">
        <v>0</v>
      </c>
      <c r="F31" s="220"/>
      <c r="G31" s="71">
        <v>7305.96</v>
      </c>
      <c r="H31" s="72" t="s">
        <v>12</v>
      </c>
      <c r="I31" s="73"/>
      <c r="J31" s="74" t="s">
        <v>32</v>
      </c>
      <c r="K31" s="75" t="s">
        <v>33</v>
      </c>
    </row>
    <row r="32" spans="1:18" ht="15" thickBot="1">
      <c r="B32" s="363" t="s">
        <v>29</v>
      </c>
      <c r="C32" s="364"/>
      <c r="D32" s="365"/>
      <c r="E32" s="66">
        <f>+F48</f>
        <v>0</v>
      </c>
      <c r="F32" s="220"/>
      <c r="N32" s="269"/>
      <c r="P32" s="155"/>
      <c r="R32" s="155"/>
    </row>
    <row r="33" spans="2:18">
      <c r="E33" s="61"/>
      <c r="F33" s="219"/>
    </row>
    <row r="34" spans="2:18">
      <c r="E34" s="61"/>
      <c r="F34" s="219"/>
      <c r="H34" s="61"/>
      <c r="I34" s="61"/>
      <c r="J34" s="39"/>
      <c r="K34" s="61"/>
      <c r="N34" s="269"/>
      <c r="P34" s="155"/>
      <c r="R34" s="155"/>
    </row>
    <row r="35" spans="2:18">
      <c r="E35" s="61"/>
      <c r="F35" s="219"/>
      <c r="G35" s="8"/>
      <c r="H35" s="61"/>
      <c r="I35" s="61"/>
      <c r="J35" s="39"/>
      <c r="K35" s="61"/>
    </row>
    <row r="36" spans="2:18">
      <c r="E36" s="61"/>
      <c r="F36" s="219"/>
      <c r="G36" s="8"/>
      <c r="H36" s="13"/>
      <c r="I36" s="61"/>
      <c r="J36" s="13"/>
      <c r="K36" s="83"/>
      <c r="L36" s="61"/>
      <c r="M36" s="61"/>
      <c r="N36" s="269"/>
      <c r="P36" s="155"/>
      <c r="R36" s="155"/>
    </row>
    <row r="37" spans="2:18">
      <c r="B37" s="61"/>
      <c r="C37" s="61"/>
      <c r="D37" s="61"/>
      <c r="E37" s="78" t="s">
        <v>401</v>
      </c>
      <c r="F37" s="297"/>
      <c r="G37" s="181"/>
      <c r="H37" s="161"/>
      <c r="I37" s="197"/>
      <c r="J37" s="13"/>
      <c r="K37" s="83"/>
      <c r="L37" s="61"/>
      <c r="M37" s="61"/>
    </row>
    <row r="38" spans="2:18" s="61" customFormat="1" ht="15" customHeight="1">
      <c r="E38" s="78"/>
      <c r="F38" s="297"/>
      <c r="G38" s="86"/>
      <c r="I38" s="197"/>
      <c r="J38" s="13"/>
      <c r="K38" s="83"/>
      <c r="L38" s="88"/>
      <c r="N38" s="272"/>
      <c r="P38" s="273"/>
      <c r="R38" s="273"/>
    </row>
    <row r="39" spans="2:18" s="61" customFormat="1" ht="15" customHeight="1">
      <c r="E39" s="83" t="s">
        <v>34</v>
      </c>
      <c r="F39" s="297">
        <f>F19</f>
        <v>74446.179999999993</v>
      </c>
      <c r="G39" s="86"/>
      <c r="H39" s="161"/>
      <c r="I39" s="197"/>
      <c r="J39" s="13"/>
      <c r="K39" s="85"/>
      <c r="L39" s="161"/>
      <c r="M39" s="197"/>
    </row>
    <row r="40" spans="2:18" s="61" customFormat="1" ht="15" customHeight="1">
      <c r="E40" s="83" t="s">
        <v>35</v>
      </c>
      <c r="F40" s="297">
        <f>+E19</f>
        <v>15128.48</v>
      </c>
      <c r="G40" s="86"/>
      <c r="I40" s="214"/>
      <c r="J40" s="13"/>
      <c r="K40" s="87"/>
      <c r="L40" s="161"/>
      <c r="M40" s="197"/>
      <c r="N40" s="272"/>
      <c r="P40" s="273"/>
      <c r="R40" s="273"/>
    </row>
    <row r="41" spans="2:18" s="61" customFormat="1" ht="15" customHeight="1">
      <c r="E41" s="83" t="s">
        <v>36</v>
      </c>
      <c r="F41" s="297">
        <v>0</v>
      </c>
      <c r="G41" s="9"/>
      <c r="I41" s="197"/>
      <c r="J41" s="13"/>
      <c r="M41" s="197"/>
    </row>
    <row r="42" spans="2:18" s="61" customFormat="1" ht="15" customHeight="1">
      <c r="E42" s="83" t="s">
        <v>37</v>
      </c>
      <c r="F42" s="297">
        <v>0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85" t="s">
        <v>38</v>
      </c>
      <c r="F43" s="231">
        <f>SUM(F39:F42)</f>
        <v>89574.659999999989</v>
      </c>
      <c r="G43" s="9"/>
      <c r="H43" s="163"/>
      <c r="I43" s="229"/>
      <c r="J43" s="13"/>
      <c r="M43" s="197"/>
    </row>
    <row r="44" spans="2:18" s="61" customFormat="1" ht="15" customHeight="1">
      <c r="E44" s="87"/>
      <c r="F44" s="232"/>
      <c r="G44" s="9"/>
      <c r="H44" s="165"/>
      <c r="I44" s="230"/>
      <c r="J44" s="13"/>
      <c r="M44" s="197"/>
      <c r="N44" s="272"/>
      <c r="P44" s="273"/>
      <c r="R44" s="273"/>
    </row>
    <row r="45" spans="2:18" s="61" customFormat="1" ht="15" customHeight="1">
      <c r="E45" s="87" t="s">
        <v>152</v>
      </c>
      <c r="F45" s="232">
        <v>270000</v>
      </c>
      <c r="G45" s="9"/>
      <c r="H45" s="165"/>
      <c r="I45" s="230"/>
      <c r="J45" s="13"/>
      <c r="M45" s="197"/>
      <c r="N45" s="272"/>
      <c r="P45" s="273"/>
      <c r="R45" s="273"/>
    </row>
    <row r="46" spans="2:18" s="61" customFormat="1" ht="15" customHeight="1">
      <c r="E46" s="87" t="s">
        <v>116</v>
      </c>
      <c r="F46" s="232">
        <v>29000</v>
      </c>
      <c r="G46" s="9"/>
      <c r="H46" s="165"/>
      <c r="I46" s="230"/>
      <c r="J46" s="13"/>
      <c r="M46" s="197"/>
      <c r="N46" s="272"/>
      <c r="P46" s="273"/>
      <c r="R46" s="273"/>
    </row>
    <row r="47" spans="2:18" s="61" customFormat="1" ht="15" customHeight="1">
      <c r="E47" s="87" t="s">
        <v>52</v>
      </c>
      <c r="F47" s="232">
        <v>40000</v>
      </c>
      <c r="G47" s="9"/>
      <c r="H47" s="165"/>
      <c r="I47" s="230"/>
      <c r="J47" s="13"/>
      <c r="M47" s="197"/>
      <c r="N47" s="272"/>
      <c r="P47" s="273"/>
      <c r="R47" s="273"/>
    </row>
    <row r="48" spans="2:18" s="61" customFormat="1" ht="15" customHeight="1">
      <c r="E48" s="87" t="s">
        <v>53</v>
      </c>
      <c r="F48" s="232">
        <v>0</v>
      </c>
      <c r="G48" s="9"/>
      <c r="H48" s="165"/>
      <c r="I48" s="230"/>
      <c r="J48" s="13"/>
      <c r="M48" s="197"/>
      <c r="N48" s="272"/>
      <c r="P48" s="273"/>
      <c r="R48" s="273"/>
    </row>
    <row r="49" spans="2:18" s="61" customFormat="1" ht="15" customHeight="1">
      <c r="E49" s="87" t="s">
        <v>398</v>
      </c>
      <c r="F49" s="232">
        <v>0</v>
      </c>
      <c r="G49" s="9"/>
      <c r="H49" s="165"/>
      <c r="I49" s="230"/>
      <c r="J49" s="13"/>
      <c r="M49" s="197"/>
      <c r="N49" s="272"/>
      <c r="P49" s="273"/>
      <c r="R49" s="273"/>
    </row>
    <row r="50" spans="2:18" s="61" customFormat="1" ht="15" customHeight="1">
      <c r="E50" s="91" t="s">
        <v>24</v>
      </c>
      <c r="F50" s="228">
        <f>15000+65000</f>
        <v>80000</v>
      </c>
      <c r="G50" s="8"/>
      <c r="H50" s="91"/>
      <c r="I50" s="231"/>
      <c r="J50" s="13"/>
    </row>
    <row r="51" spans="2:18" s="61" customFormat="1" ht="15" customHeight="1">
      <c r="E51" s="91" t="s">
        <v>22</v>
      </c>
      <c r="F51" s="228">
        <v>50000</v>
      </c>
      <c r="G51" s="8"/>
      <c r="H51" s="96"/>
      <c r="I51" s="231"/>
      <c r="J51" s="262"/>
    </row>
    <row r="52" spans="2:18" s="61" customFormat="1">
      <c r="E52" s="91" t="s">
        <v>40</v>
      </c>
      <c r="F52" s="232">
        <f>250000-60000</f>
        <v>190000</v>
      </c>
      <c r="G52" s="82"/>
      <c r="H52" s="83"/>
      <c r="I52" s="228"/>
      <c r="J52" s="13"/>
    </row>
    <row r="53" spans="2:18" s="61" customFormat="1">
      <c r="E53" s="96" t="s">
        <v>41</v>
      </c>
      <c r="F53" s="231">
        <f>SUM(F45:F52)</f>
        <v>659000</v>
      </c>
      <c r="G53" s="82"/>
      <c r="H53" s="83"/>
      <c r="I53" s="233"/>
      <c r="J53" s="13"/>
    </row>
    <row r="54" spans="2:18" s="61" customFormat="1">
      <c r="E54" s="96" t="s">
        <v>42</v>
      </c>
      <c r="F54" s="231">
        <f>F43-F53</f>
        <v>-569425.34</v>
      </c>
      <c r="G54" s="82"/>
      <c r="H54" s="83"/>
      <c r="I54" s="233"/>
      <c r="J54" s="13"/>
    </row>
    <row r="55" spans="2:18" s="61" customFormat="1">
      <c r="E55" s="83"/>
      <c r="F55" s="151"/>
      <c r="G55" s="82"/>
      <c r="H55" s="83"/>
      <c r="I55" s="233"/>
      <c r="J55" s="13"/>
      <c r="L55" s="91"/>
      <c r="M55" s="232"/>
    </row>
    <row r="56" spans="2:18" s="61" customFormat="1">
      <c r="E56" s="83" t="s">
        <v>43</v>
      </c>
      <c r="F56" s="151">
        <v>0</v>
      </c>
      <c r="G56" s="82"/>
      <c r="H56" s="96"/>
      <c r="I56" s="228"/>
      <c r="J56" s="13"/>
      <c r="L56" s="91"/>
      <c r="M56" s="232"/>
    </row>
    <row r="57" spans="2:18" s="61" customFormat="1">
      <c r="E57" s="83" t="s">
        <v>44</v>
      </c>
      <c r="F57" s="151">
        <v>170000</v>
      </c>
      <c r="G57" s="82"/>
      <c r="H57" s="96"/>
      <c r="I57" s="228"/>
      <c r="J57" s="13"/>
      <c r="L57" s="91"/>
      <c r="M57" s="232"/>
    </row>
    <row r="58" spans="2:18" s="61" customFormat="1">
      <c r="E58" s="83" t="s">
        <v>386</v>
      </c>
      <c r="F58" s="151">
        <v>3866.8</v>
      </c>
      <c r="G58" s="82"/>
      <c r="H58" s="83"/>
      <c r="I58" s="233"/>
      <c r="J58" s="13"/>
      <c r="L58" s="96"/>
      <c r="M58" s="231"/>
    </row>
    <row r="59" spans="2:18" s="61" customFormat="1">
      <c r="E59" s="83" t="s">
        <v>45</v>
      </c>
      <c r="F59" s="95">
        <v>993098.58</v>
      </c>
      <c r="G59" s="8"/>
      <c r="H59" s="96"/>
      <c r="I59" s="219"/>
      <c r="J59" s="13"/>
      <c r="L59" s="96"/>
      <c r="M59" s="233"/>
    </row>
    <row r="60" spans="2:18" s="61" customFormat="1">
      <c r="E60" s="83" t="s">
        <v>205</v>
      </c>
      <c r="F60" s="95">
        <v>491467.78</v>
      </c>
      <c r="G60" s="8"/>
      <c r="J60" s="13"/>
    </row>
    <row r="61" spans="2:18" s="61" customFormat="1">
      <c r="B61"/>
      <c r="C61"/>
      <c r="D61"/>
      <c r="E61" s="83" t="s">
        <v>206</v>
      </c>
      <c r="F61" s="95">
        <v>0</v>
      </c>
      <c r="G61" s="8"/>
      <c r="J61" s="13"/>
      <c r="L61" s="83"/>
      <c r="M61" s="228"/>
    </row>
    <row r="62" spans="2:18">
      <c r="E62" s="96" t="s">
        <v>46</v>
      </c>
      <c r="F62" s="99">
        <f>SUM(F56:F61)</f>
        <v>1658433.16</v>
      </c>
      <c r="G62" s="8"/>
      <c r="L62" s="61"/>
      <c r="M62" s="61"/>
    </row>
    <row r="63" spans="2:18">
      <c r="E63" s="83"/>
      <c r="F63" s="151"/>
      <c r="G63" s="8"/>
      <c r="L63" s="61"/>
      <c r="M63" s="61"/>
    </row>
    <row r="64" spans="2:18">
      <c r="E64" s="118" t="s">
        <v>47</v>
      </c>
      <c r="F64" s="120">
        <f>F54-F62</f>
        <v>-2227858.5</v>
      </c>
      <c r="G64" s="8"/>
    </row>
    <row r="65" spans="1:7">
      <c r="D65" s="247" t="s">
        <v>192</v>
      </c>
      <c r="E65" s="8"/>
      <c r="F65" s="220"/>
      <c r="G65" s="8"/>
    </row>
    <row r="66" spans="1:7">
      <c r="D66" s="247" t="s">
        <v>194</v>
      </c>
      <c r="E66" s="8"/>
      <c r="F66" s="220"/>
      <c r="G66" s="8"/>
    </row>
    <row r="67" spans="1:7">
      <c r="D67" s="8" t="s">
        <v>9</v>
      </c>
      <c r="E67" s="8"/>
      <c r="F67" s="220"/>
      <c r="G67" s="124">
        <f>SUM(E75:F75)</f>
        <v>0</v>
      </c>
    </row>
    <row r="68" spans="1:7">
      <c r="D68" s="8" t="s">
        <v>195</v>
      </c>
      <c r="E68" s="61"/>
      <c r="F68" s="220"/>
      <c r="G68" s="8"/>
    </row>
    <row r="69" spans="1:7">
      <c r="D69" s="8" t="s">
        <v>188</v>
      </c>
      <c r="E69" s="243"/>
      <c r="F69" s="247"/>
      <c r="G69" s="8"/>
    </row>
    <row r="70" spans="1:7">
      <c r="D70" s="8"/>
      <c r="E70" s="243"/>
      <c r="F70" s="248"/>
    </row>
    <row r="71" spans="1:7">
      <c r="E71" s="245"/>
      <c r="F71" s="250"/>
    </row>
    <row r="72" spans="1:7">
      <c r="E72" s="245"/>
      <c r="F72" s="246"/>
    </row>
    <row r="73" spans="1:7">
      <c r="E73" s="249"/>
      <c r="F73" s="287"/>
    </row>
    <row r="74" spans="1:7">
      <c r="E74" s="124"/>
      <c r="F74" s="287"/>
    </row>
    <row r="75" spans="1:7">
      <c r="E75" s="8"/>
    </row>
    <row r="76" spans="1:7">
      <c r="E76" s="8"/>
    </row>
    <row r="77" spans="1:7">
      <c r="A77" s="268"/>
      <c r="E77" s="8"/>
    </row>
    <row r="78" spans="1:7">
      <c r="E78" s="8"/>
    </row>
    <row r="79" spans="1:7">
      <c r="B79" s="235"/>
      <c r="E79" s="8"/>
    </row>
    <row r="80" spans="1:7">
      <c r="E80" s="8"/>
    </row>
    <row r="81" spans="1:5">
      <c r="E81" s="293"/>
    </row>
    <row r="82" spans="1:5">
      <c r="C82" s="155"/>
      <c r="E82" s="8"/>
    </row>
    <row r="83" spans="1:5">
      <c r="A83" s="269"/>
      <c r="E83" s="293"/>
    </row>
    <row r="84" spans="1:5">
      <c r="C84" s="155"/>
      <c r="E84" s="8"/>
    </row>
    <row r="85" spans="1:5">
      <c r="A85" s="269"/>
      <c r="E85" s="293"/>
    </row>
    <row r="86" spans="1:5">
      <c r="C86" s="155"/>
      <c r="E86" s="8"/>
    </row>
    <row r="87" spans="1:5">
      <c r="A87" s="269"/>
      <c r="E87" s="293"/>
    </row>
    <row r="88" spans="1:5">
      <c r="C88" s="155"/>
      <c r="E88" s="8"/>
    </row>
    <row r="89" spans="1:5">
      <c r="A89" s="269"/>
      <c r="E89" s="293"/>
    </row>
    <row r="90" spans="1:5">
      <c r="C90" s="155"/>
      <c r="E90" s="8"/>
    </row>
    <row r="91" spans="1:5">
      <c r="A91" s="269"/>
      <c r="E91" s="293"/>
    </row>
    <row r="92" spans="1:5">
      <c r="C92" s="155"/>
      <c r="E92" s="8"/>
    </row>
    <row r="93" spans="1:5">
      <c r="A93" s="269"/>
      <c r="E93" s="293"/>
    </row>
    <row r="94" spans="1:5">
      <c r="C94" s="155"/>
      <c r="E94" s="8"/>
    </row>
    <row r="95" spans="1:5">
      <c r="A95" s="269"/>
      <c r="E95" s="293"/>
    </row>
    <row r="96" spans="1:5">
      <c r="C96" s="155"/>
      <c r="E96" s="8"/>
    </row>
    <row r="97" spans="1:5">
      <c r="A97" s="269"/>
      <c r="E97" s="293"/>
    </row>
    <row r="98" spans="1:5">
      <c r="C98" s="155"/>
      <c r="E98" s="8"/>
    </row>
    <row r="99" spans="1:5">
      <c r="A99" s="269"/>
      <c r="E99" s="293"/>
    </row>
    <row r="100" spans="1:5">
      <c r="C100" s="155"/>
      <c r="E100" s="8"/>
    </row>
    <row r="101" spans="1:5">
      <c r="A101" s="269"/>
      <c r="E101" s="293"/>
    </row>
    <row r="102" spans="1:5">
      <c r="C102" s="155"/>
      <c r="E102" s="8"/>
    </row>
    <row r="103" spans="1:5">
      <c r="A103" s="269"/>
      <c r="E103" s="293"/>
    </row>
    <row r="104" spans="1:5">
      <c r="C104" s="155"/>
      <c r="E104" s="8"/>
    </row>
    <row r="105" spans="1:5">
      <c r="A105" s="269"/>
      <c r="E105" s="293"/>
    </row>
    <row r="106" spans="1:5">
      <c r="C106" s="155"/>
      <c r="E106" s="8"/>
    </row>
    <row r="107" spans="1:5">
      <c r="A107" s="269"/>
      <c r="E107" s="293"/>
    </row>
    <row r="108" spans="1:5">
      <c r="C108" s="155"/>
      <c r="E108" s="8"/>
    </row>
    <row r="109" spans="1:5">
      <c r="A109" s="269"/>
      <c r="E109" s="293"/>
    </row>
    <row r="110" spans="1:5">
      <c r="C110" s="155"/>
      <c r="E110" s="8"/>
    </row>
    <row r="111" spans="1:5">
      <c r="A111" s="269"/>
      <c r="E111" s="293"/>
    </row>
    <row r="112" spans="1:5">
      <c r="C112" s="155"/>
      <c r="E112" s="8"/>
    </row>
    <row r="113" spans="1:5">
      <c r="A113" s="269"/>
      <c r="E113" s="277"/>
    </row>
    <row r="114" spans="1:5">
      <c r="C114" s="155"/>
      <c r="E114" s="79"/>
    </row>
    <row r="115" spans="1:5">
      <c r="A115" s="269"/>
      <c r="E115" s="277"/>
    </row>
    <row r="116" spans="1:5">
      <c r="C116" s="155"/>
      <c r="E116" s="79"/>
    </row>
    <row r="117" spans="1:5">
      <c r="A117" s="269"/>
      <c r="E117" s="277"/>
    </row>
    <row r="118" spans="1:5">
      <c r="C118" s="155"/>
      <c r="E118" s="79"/>
    </row>
    <row r="119" spans="1:5">
      <c r="A119" s="269"/>
      <c r="E119" s="277"/>
    </row>
    <row r="120" spans="1:5">
      <c r="C120" s="155"/>
      <c r="E120" s="79"/>
    </row>
    <row r="121" spans="1:5">
      <c r="A121" s="269"/>
      <c r="E121" s="277"/>
    </row>
    <row r="122" spans="1:5">
      <c r="C122" s="155"/>
      <c r="E122" s="79"/>
    </row>
    <row r="123" spans="1:5">
      <c r="A123" s="269"/>
      <c r="E123" s="277"/>
    </row>
    <row r="124" spans="1:5">
      <c r="C124" s="155"/>
      <c r="E124" s="79"/>
    </row>
    <row r="125" spans="1:5">
      <c r="A125" s="269"/>
      <c r="E125" s="277"/>
    </row>
    <row r="126" spans="1:5">
      <c r="C126" s="155"/>
    </row>
    <row r="127" spans="1:5">
      <c r="A127" s="269"/>
      <c r="E127" s="155"/>
    </row>
    <row r="128" spans="1:5">
      <c r="C128" s="155"/>
    </row>
    <row r="129" spans="1:5">
      <c r="A129" s="269"/>
      <c r="E129" s="155"/>
    </row>
    <row r="130" spans="1:5">
      <c r="C130" s="155"/>
    </row>
    <row r="131" spans="1:5">
      <c r="A131" s="269"/>
      <c r="E131" s="155"/>
    </row>
    <row r="132" spans="1:5">
      <c r="C132" s="155"/>
    </row>
    <row r="133" spans="1:5">
      <c r="A133" s="269"/>
      <c r="E133" s="155"/>
    </row>
    <row r="134" spans="1:5">
      <c r="C134" s="155"/>
    </row>
    <row r="135" spans="1:5">
      <c r="A135" s="269"/>
      <c r="E135" s="155"/>
    </row>
    <row r="136" spans="1:5">
      <c r="C136" s="155"/>
    </row>
    <row r="137" spans="1:5">
      <c r="A137" s="269"/>
      <c r="E137" s="155"/>
    </row>
    <row r="138" spans="1:5">
      <c r="C138" s="155"/>
    </row>
    <row r="139" spans="1:5">
      <c r="A139" s="269"/>
      <c r="E139" s="155"/>
    </row>
    <row r="140" spans="1:5">
      <c r="C140" s="155"/>
    </row>
    <row r="141" spans="1:5">
      <c r="A141" s="269"/>
      <c r="E141" s="155"/>
    </row>
    <row r="142" spans="1:5">
      <c r="C142" s="155"/>
    </row>
    <row r="143" spans="1:5">
      <c r="A143" s="269"/>
      <c r="E143" s="155"/>
    </row>
    <row r="144" spans="1:5">
      <c r="C144" s="155"/>
    </row>
    <row r="145" spans="1:5">
      <c r="A145" s="269"/>
      <c r="E145" s="155"/>
    </row>
    <row r="146" spans="1:5">
      <c r="C146" s="155"/>
    </row>
    <row r="147" spans="1:5">
      <c r="A147" s="269"/>
      <c r="E147" s="155"/>
    </row>
    <row r="148" spans="1:5">
      <c r="C148" s="155"/>
    </row>
    <row r="149" spans="1:5">
      <c r="A149" s="269"/>
      <c r="E149" s="155"/>
    </row>
    <row r="150" spans="1:5">
      <c r="C150" s="155"/>
    </row>
    <row r="151" spans="1:5">
      <c r="A151" s="269"/>
      <c r="E151" s="155"/>
    </row>
    <row r="152" spans="1:5">
      <c r="C152" s="155"/>
    </row>
    <row r="153" spans="1:5">
      <c r="A153" s="269"/>
      <c r="E153" s="155"/>
    </row>
    <row r="154" spans="1:5">
      <c r="C154" s="155"/>
    </row>
    <row r="155" spans="1:5">
      <c r="A155" s="269"/>
      <c r="E155" s="155"/>
    </row>
    <row r="156" spans="1:5">
      <c r="C156" s="155"/>
    </row>
    <row r="157" spans="1:5">
      <c r="A157" s="269"/>
      <c r="E157" s="155"/>
    </row>
    <row r="158" spans="1:5">
      <c r="C158" s="155"/>
    </row>
    <row r="159" spans="1:5">
      <c r="A159" s="269"/>
      <c r="E159" s="155"/>
    </row>
    <row r="160" spans="1:5">
      <c r="C160" s="155"/>
    </row>
    <row r="161" spans="1:5">
      <c r="A161" s="269"/>
      <c r="E161" s="155"/>
    </row>
    <row r="162" spans="1:5">
      <c r="C162" s="155"/>
    </row>
    <row r="163" spans="1:5">
      <c r="A163" s="269"/>
      <c r="E163" s="155"/>
    </row>
    <row r="164" spans="1:5">
      <c r="C164" s="155"/>
    </row>
    <row r="165" spans="1:5">
      <c r="A165" s="269"/>
      <c r="E165" s="155"/>
    </row>
    <row r="166" spans="1:5">
      <c r="C166" s="155"/>
    </row>
    <row r="167" spans="1:5">
      <c r="A167" s="269"/>
      <c r="E167" s="155"/>
    </row>
    <row r="168" spans="1:5">
      <c r="C168" s="155"/>
    </row>
    <row r="169" spans="1:5">
      <c r="A169" s="269"/>
      <c r="E169" s="155"/>
    </row>
    <row r="170" spans="1:5">
      <c r="C170" s="155"/>
    </row>
    <row r="171" spans="1:5">
      <c r="A171" s="269"/>
      <c r="E171" s="155"/>
    </row>
    <row r="172" spans="1:5">
      <c r="C172" s="155"/>
    </row>
    <row r="173" spans="1:5">
      <c r="A173" s="269"/>
      <c r="E173" s="155"/>
    </row>
    <row r="174" spans="1:5">
      <c r="C174" s="155"/>
    </row>
    <row r="175" spans="1:5">
      <c r="A175" s="269"/>
      <c r="E175" s="155"/>
    </row>
    <row r="176" spans="1:5">
      <c r="C176" s="155"/>
    </row>
    <row r="177" spans="1:5">
      <c r="A177" s="269"/>
      <c r="E177" s="155"/>
    </row>
    <row r="178" spans="1:5">
      <c r="C178" s="155"/>
    </row>
    <row r="179" spans="1:5">
      <c r="A179" s="269"/>
      <c r="E179" s="155"/>
    </row>
    <row r="180" spans="1:5">
      <c r="C180" s="155"/>
    </row>
    <row r="181" spans="1:5">
      <c r="A181" s="269"/>
      <c r="E181" s="155"/>
    </row>
    <row r="182" spans="1:5">
      <c r="C182" s="155"/>
    </row>
    <row r="183" spans="1:5">
      <c r="A183" s="269"/>
      <c r="E183" s="155"/>
    </row>
    <row r="184" spans="1:5">
      <c r="C184" s="155"/>
    </row>
    <row r="185" spans="1:5">
      <c r="A185" s="269"/>
      <c r="E185" s="155"/>
    </row>
    <row r="186" spans="1:5">
      <c r="C186" s="155"/>
    </row>
    <row r="187" spans="1:5">
      <c r="A187" s="269"/>
      <c r="E187" s="155"/>
    </row>
    <row r="188" spans="1:5">
      <c r="C188" s="155"/>
    </row>
    <row r="189" spans="1:5">
      <c r="A189" s="269"/>
      <c r="E189" s="155"/>
    </row>
    <row r="190" spans="1:5">
      <c r="C190" s="155"/>
    </row>
    <row r="191" spans="1:5">
      <c r="A191" s="269"/>
      <c r="E191" s="155"/>
    </row>
    <row r="192" spans="1:5">
      <c r="C192" s="155"/>
    </row>
    <row r="193" spans="1:5">
      <c r="A193" s="269"/>
      <c r="E193" s="155"/>
    </row>
    <row r="194" spans="1:5">
      <c r="C194" s="155"/>
    </row>
    <row r="195" spans="1:5">
      <c r="A195" s="269"/>
      <c r="E195" s="155"/>
    </row>
    <row r="196" spans="1:5">
      <c r="C196" s="155"/>
    </row>
    <row r="197" spans="1:5">
      <c r="A197" s="269"/>
      <c r="E197" s="155"/>
    </row>
    <row r="198" spans="1:5">
      <c r="C198" s="155"/>
    </row>
    <row r="199" spans="1:5">
      <c r="A199" s="269"/>
      <c r="E199" s="155"/>
    </row>
    <row r="200" spans="1:5">
      <c r="C200" s="155"/>
    </row>
    <row r="201" spans="1:5">
      <c r="A201" s="269"/>
      <c r="E201" s="155"/>
    </row>
    <row r="202" spans="1:5">
      <c r="D202" s="155"/>
    </row>
    <row r="203" spans="1:5">
      <c r="A203" s="269"/>
      <c r="E203" s="155"/>
    </row>
    <row r="204" spans="1:5">
      <c r="C204" s="155"/>
    </row>
    <row r="205" spans="1:5">
      <c r="A205" s="269"/>
      <c r="E205" s="155"/>
    </row>
    <row r="206" spans="1:5">
      <c r="C206" s="155"/>
    </row>
    <row r="207" spans="1:5">
      <c r="A207" s="269"/>
      <c r="E207" s="155"/>
    </row>
    <row r="208" spans="1:5">
      <c r="C208" s="155"/>
    </row>
    <row r="209" spans="1:5">
      <c r="A209" s="269"/>
      <c r="E209" s="155"/>
    </row>
    <row r="210" spans="1:5">
      <c r="C210" s="155"/>
    </row>
    <row r="211" spans="1:5">
      <c r="A211" s="269"/>
      <c r="E211" s="155"/>
    </row>
    <row r="212" spans="1:5">
      <c r="C212" s="155"/>
    </row>
    <row r="213" spans="1:5">
      <c r="A213" s="269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F642C-CA03-4328-A070-1AE7F3CFBC0C}">
  <dimension ref="A6:R213"/>
  <sheetViews>
    <sheetView showGridLines="0" topLeftCell="A12" workbookViewId="0">
      <selection activeCell="A12" sqref="A1:XFD1048576"/>
    </sheetView>
  </sheetViews>
  <sheetFormatPr baseColWidth="10" defaultRowHeight="14.5"/>
  <cols>
    <col min="2" max="2" width="16.54296875" customWidth="1"/>
    <col min="4" max="4" width="22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37.81640625" customWidth="1"/>
    <col min="14" max="14" width="13.7265625" bestFit="1" customWidth="1"/>
    <col min="15" max="15" width="41.54296875" bestFit="1" customWidth="1"/>
  </cols>
  <sheetData>
    <row r="6" spans="1:13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3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3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3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3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3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  <c r="M11" s="235"/>
    </row>
    <row r="12" spans="1:13" ht="19" thickBot="1">
      <c r="A12" s="1"/>
      <c r="B12" s="331" t="s">
        <v>2</v>
      </c>
      <c r="C12" s="332"/>
      <c r="D12" s="332"/>
      <c r="E12" s="333"/>
      <c r="F12" s="295"/>
      <c r="G12" s="296"/>
      <c r="H12" s="1"/>
      <c r="I12" s="1"/>
      <c r="J12" s="76"/>
      <c r="K12" s="1"/>
    </row>
    <row r="13" spans="1:13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  <c r="M13" s="235"/>
    </row>
    <row r="14" spans="1:13" ht="18" thickBot="1">
      <c r="A14" s="11"/>
      <c r="B14" s="334" t="s">
        <v>3</v>
      </c>
      <c r="C14" s="335"/>
      <c r="D14" s="336"/>
      <c r="E14" s="17">
        <f>SUM(E15:E17)</f>
        <v>210927.66999999998</v>
      </c>
      <c r="F14" s="264"/>
      <c r="G14" s="331" t="s">
        <v>4</v>
      </c>
      <c r="H14" s="332"/>
      <c r="I14" s="332"/>
      <c r="J14" s="332"/>
      <c r="K14" s="333"/>
      <c r="L14" s="13"/>
    </row>
    <row r="15" spans="1:13">
      <c r="A15" s="1"/>
      <c r="B15" s="337" t="s">
        <v>5</v>
      </c>
      <c r="C15" s="338"/>
      <c r="D15" s="339"/>
      <c r="E15" s="20">
        <f>J16+J17+J18+J19</f>
        <v>103694.68</v>
      </c>
      <c r="F15" s="153"/>
      <c r="G15" s="340" t="s">
        <v>6</v>
      </c>
      <c r="H15" s="341"/>
      <c r="I15" s="21"/>
      <c r="J15" s="342" t="s">
        <v>5</v>
      </c>
      <c r="K15" s="343"/>
      <c r="L15" s="13"/>
      <c r="M15" s="235"/>
    </row>
    <row r="16" spans="1:13">
      <c r="A16" s="1"/>
      <c r="B16" s="349" t="s">
        <v>7</v>
      </c>
      <c r="C16" s="350"/>
      <c r="D16" s="351"/>
      <c r="E16" s="20">
        <f>G22+G23</f>
        <v>43853.61</v>
      </c>
      <c r="F16" s="153"/>
      <c r="G16" s="22">
        <v>18794.22</v>
      </c>
      <c r="H16" s="23" t="s">
        <v>8</v>
      </c>
      <c r="I16" s="24"/>
      <c r="J16" s="25">
        <v>21389.08</v>
      </c>
      <c r="K16" s="26" t="s">
        <v>9</v>
      </c>
      <c r="L16" s="19"/>
    </row>
    <row r="17" spans="1:18">
      <c r="A17" s="1"/>
      <c r="B17" s="352" t="s">
        <v>6</v>
      </c>
      <c r="C17" s="353"/>
      <c r="D17" s="354"/>
      <c r="E17" s="28">
        <f>G16+G17+G18</f>
        <v>63379.38</v>
      </c>
      <c r="F17" s="153">
        <f>E15+E16+E17</f>
        <v>210927.66999999998</v>
      </c>
      <c r="G17" s="22">
        <v>16408.009999999998</v>
      </c>
      <c r="H17" s="29" t="s">
        <v>10</v>
      </c>
      <c r="I17" s="30"/>
      <c r="J17" s="25">
        <v>21035.65</v>
      </c>
      <c r="K17" s="31" t="s">
        <v>10</v>
      </c>
      <c r="L17" s="13"/>
    </row>
    <row r="18" spans="1:18">
      <c r="A18" s="1"/>
      <c r="B18" s="236" t="s">
        <v>187</v>
      </c>
      <c r="C18" s="237"/>
      <c r="D18" s="238"/>
      <c r="E18" s="28">
        <f>+J22</f>
        <v>20822.95</v>
      </c>
      <c r="F18" s="153">
        <v>180000</v>
      </c>
      <c r="G18" s="22">
        <v>28177.15</v>
      </c>
      <c r="H18" s="29" t="s">
        <v>12</v>
      </c>
      <c r="I18" s="30"/>
      <c r="J18" s="25">
        <v>24525.96</v>
      </c>
      <c r="K18" s="31" t="s">
        <v>12</v>
      </c>
      <c r="L18" s="13"/>
      <c r="N18" s="3"/>
    </row>
    <row r="19" spans="1:18">
      <c r="B19" s="379" t="s">
        <v>11</v>
      </c>
      <c r="C19" s="380"/>
      <c r="D19" s="381"/>
      <c r="E19" s="20">
        <f>G29+G31+G30+G28</f>
        <v>15132</v>
      </c>
      <c r="F19" s="153">
        <f>+F17-F18</f>
        <v>30927.669999999984</v>
      </c>
      <c r="G19" s="33"/>
      <c r="H19" s="34"/>
      <c r="I19" s="30"/>
      <c r="J19" s="25">
        <v>36743.99</v>
      </c>
      <c r="K19" s="31" t="s">
        <v>14</v>
      </c>
      <c r="N19" s="3"/>
    </row>
    <row r="20" spans="1:18">
      <c r="B20" s="344" t="s">
        <v>13</v>
      </c>
      <c r="C20" s="345"/>
      <c r="D20" s="346"/>
      <c r="E20" s="20">
        <v>14427053.460000001</v>
      </c>
      <c r="F20" s="153"/>
      <c r="G20" s="239"/>
      <c r="H20" s="240"/>
      <c r="I20" s="30"/>
      <c r="J20" s="25"/>
      <c r="K20" s="31"/>
      <c r="L20" s="152"/>
      <c r="N20" s="3"/>
    </row>
    <row r="21" spans="1:18">
      <c r="B21" s="187" t="s">
        <v>15</v>
      </c>
      <c r="C21" s="188"/>
      <c r="D21" s="189"/>
      <c r="E21" s="190">
        <f>SUM(E22:E25)</f>
        <v>258806.31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294"/>
      <c r="N21" s="268"/>
    </row>
    <row r="22" spans="1:18" ht="15" customHeight="1">
      <c r="B22" s="303"/>
      <c r="C22" s="304"/>
      <c r="D22" s="308" t="s">
        <v>382</v>
      </c>
      <c r="E22" s="190">
        <v>75419.08</v>
      </c>
      <c r="F22" s="153"/>
      <c r="G22" s="44">
        <v>17362.439999999999</v>
      </c>
      <c r="H22" s="29" t="s">
        <v>10</v>
      </c>
      <c r="I22" s="30"/>
      <c r="J22" s="25">
        <v>20822.95</v>
      </c>
      <c r="K22" s="31" t="s">
        <v>188</v>
      </c>
      <c r="L22" s="294"/>
      <c r="M22" s="294"/>
    </row>
    <row r="23" spans="1:18" ht="15" customHeight="1">
      <c r="B23" s="301"/>
      <c r="C23" s="302"/>
      <c r="D23" s="308" t="s">
        <v>90</v>
      </c>
      <c r="E23" s="190">
        <v>182459.23</v>
      </c>
      <c r="F23" s="153"/>
      <c r="G23" s="44">
        <v>26491.17</v>
      </c>
      <c r="H23" s="29" t="s">
        <v>18</v>
      </c>
      <c r="I23" s="30"/>
      <c r="J23" s="25"/>
      <c r="K23" s="31"/>
      <c r="L23" s="294"/>
      <c r="M23" s="294"/>
    </row>
    <row r="24" spans="1:18" ht="15" thickBot="1">
      <c r="B24" s="187"/>
      <c r="C24" s="188"/>
      <c r="D24" s="198" t="s">
        <v>403</v>
      </c>
      <c r="E24" s="190">
        <v>928</v>
      </c>
      <c r="F24" s="153"/>
      <c r="G24" s="51"/>
      <c r="H24" s="34"/>
      <c r="I24" s="30"/>
      <c r="J24" s="210"/>
      <c r="K24" s="53"/>
      <c r="L24" s="294"/>
      <c r="M24" s="294"/>
      <c r="O24" s="235"/>
    </row>
    <row r="25" spans="1:18" ht="15" thickBot="1">
      <c r="B25" s="187"/>
      <c r="C25" s="188"/>
      <c r="D25" s="198"/>
      <c r="E25" s="190">
        <v>0</v>
      </c>
      <c r="F25" s="153"/>
      <c r="G25" s="331" t="s">
        <v>21</v>
      </c>
      <c r="H25" s="332"/>
      <c r="I25" s="332"/>
      <c r="J25" s="332"/>
      <c r="K25" s="333"/>
    </row>
    <row r="26" spans="1:18">
      <c r="B26" s="202" t="s">
        <v>17</v>
      </c>
      <c r="C26" s="203"/>
      <c r="D26" s="204"/>
      <c r="E26" s="234">
        <v>38454.69</v>
      </c>
      <c r="F26" s="220"/>
      <c r="G26" s="54"/>
      <c r="H26" s="55"/>
      <c r="I26" s="56"/>
      <c r="J26" s="211"/>
      <c r="K26" s="58"/>
      <c r="N26" s="290"/>
    </row>
    <row r="27" spans="1:18">
      <c r="B27" s="202" t="s">
        <v>163</v>
      </c>
      <c r="C27" s="203"/>
      <c r="D27" s="204"/>
      <c r="E27" s="234">
        <v>0</v>
      </c>
      <c r="F27" s="153">
        <f>+F19-E26</f>
        <v>-7527.0200000000186</v>
      </c>
      <c r="G27" s="377" t="s">
        <v>5</v>
      </c>
      <c r="H27" s="378"/>
      <c r="I27" s="59"/>
      <c r="J27" s="60"/>
      <c r="K27" s="45"/>
      <c r="N27" s="290"/>
      <c r="Q27" s="155"/>
      <c r="R27" s="155"/>
    </row>
    <row r="28" spans="1:18">
      <c r="B28" s="199" t="s">
        <v>22</v>
      </c>
      <c r="C28" s="200"/>
      <c r="D28" s="201"/>
      <c r="E28" s="234">
        <v>5068.6000000000004</v>
      </c>
      <c r="F28" s="288">
        <f>SUM(E26:E32)</f>
        <v>43523.29</v>
      </c>
      <c r="G28" s="22">
        <v>4197.83</v>
      </c>
      <c r="H28" s="62" t="s">
        <v>9</v>
      </c>
      <c r="I28" s="59"/>
      <c r="J28" s="60"/>
      <c r="K28" s="45"/>
      <c r="N28" s="290"/>
      <c r="P28" s="155"/>
      <c r="R28" s="155"/>
    </row>
    <row r="29" spans="1:18">
      <c r="B29" s="199" t="s">
        <v>64</v>
      </c>
      <c r="C29" s="200"/>
      <c r="D29" s="201"/>
      <c r="E29" s="234">
        <v>0</v>
      </c>
      <c r="F29" s="153">
        <f>+F27-F28</f>
        <v>-51050.310000000019</v>
      </c>
      <c r="G29" s="22">
        <v>1710.97</v>
      </c>
      <c r="H29" s="62" t="s">
        <v>26</v>
      </c>
      <c r="I29" s="63"/>
      <c r="J29" s="64" t="s">
        <v>27</v>
      </c>
      <c r="K29" s="65" t="s">
        <v>28</v>
      </c>
      <c r="M29" s="291"/>
      <c r="N29" s="292"/>
    </row>
    <row r="30" spans="1:18">
      <c r="B30" s="199" t="s">
        <v>24</v>
      </c>
      <c r="C30" s="200"/>
      <c r="D30" s="201"/>
      <c r="E30" s="49">
        <v>0</v>
      </c>
      <c r="F30" s="221"/>
      <c r="G30" s="67">
        <v>1915.32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1:18" ht="15" thickBot="1">
      <c r="B31" s="344" t="s">
        <v>69</v>
      </c>
      <c r="C31" s="345"/>
      <c r="D31" s="346"/>
      <c r="E31" s="234">
        <v>0</v>
      </c>
      <c r="F31" s="220"/>
      <c r="G31" s="71">
        <v>7307.88</v>
      </c>
      <c r="H31" s="72" t="s">
        <v>12</v>
      </c>
      <c r="I31" s="73"/>
      <c r="J31" s="74" t="s">
        <v>32</v>
      </c>
      <c r="K31" s="75" t="s">
        <v>33</v>
      </c>
    </row>
    <row r="32" spans="1:18" ht="15" thickBot="1">
      <c r="B32" s="363" t="s">
        <v>29</v>
      </c>
      <c r="C32" s="364"/>
      <c r="D32" s="365"/>
      <c r="E32" s="66">
        <f>+F48</f>
        <v>0</v>
      </c>
      <c r="F32" s="220"/>
      <c r="N32" s="269"/>
      <c r="P32" s="155"/>
      <c r="R32" s="155"/>
    </row>
    <row r="33" spans="2:18">
      <c r="E33" s="61"/>
      <c r="F33" s="219"/>
    </row>
    <row r="34" spans="2:18">
      <c r="E34" s="61"/>
      <c r="F34" s="219"/>
      <c r="H34" s="61"/>
      <c r="I34" s="61"/>
      <c r="J34" s="39"/>
      <c r="K34" s="61"/>
      <c r="N34" s="269"/>
      <c r="P34" s="155"/>
      <c r="R34" s="155"/>
    </row>
    <row r="35" spans="2:18">
      <c r="E35" s="61"/>
      <c r="F35" s="219"/>
      <c r="G35" s="8"/>
      <c r="H35" s="61"/>
      <c r="I35" s="61"/>
      <c r="J35" s="39"/>
      <c r="K35" s="61"/>
    </row>
    <row r="36" spans="2:18">
      <c r="E36" s="61"/>
      <c r="F36" s="219"/>
      <c r="G36" s="8"/>
      <c r="H36" s="13"/>
      <c r="I36" s="61"/>
      <c r="J36" s="13"/>
      <c r="K36" s="83"/>
      <c r="L36" s="61"/>
      <c r="M36" s="61"/>
      <c r="N36" s="269"/>
      <c r="P36" s="155"/>
      <c r="R36" s="155"/>
    </row>
    <row r="37" spans="2:18">
      <c r="B37" s="61"/>
      <c r="C37" s="61"/>
      <c r="D37" s="61"/>
      <c r="E37" s="78" t="s">
        <v>401</v>
      </c>
      <c r="F37" s="297"/>
      <c r="G37" s="181"/>
      <c r="H37" s="161"/>
      <c r="I37" s="197"/>
      <c r="J37" s="13"/>
      <c r="K37" s="83"/>
      <c r="L37" s="61"/>
      <c r="M37" s="61"/>
    </row>
    <row r="38" spans="2:18" s="61" customFormat="1" ht="15" customHeight="1">
      <c r="E38" s="78"/>
      <c r="F38" s="297"/>
      <c r="G38" s="86"/>
      <c r="I38" s="197"/>
      <c r="J38" s="13"/>
      <c r="K38" s="83"/>
      <c r="L38" s="88"/>
      <c r="N38" s="272"/>
      <c r="P38" s="273"/>
      <c r="R38" s="273"/>
    </row>
    <row r="39" spans="2:18" s="61" customFormat="1" ht="15" customHeight="1">
      <c r="E39" s="83" t="s">
        <v>34</v>
      </c>
      <c r="F39" s="297">
        <f>F19</f>
        <v>30927.669999999984</v>
      </c>
      <c r="G39" s="86"/>
      <c r="H39" s="161"/>
      <c r="I39" s="197"/>
      <c r="J39" s="13"/>
      <c r="K39" s="85"/>
      <c r="L39" s="161"/>
      <c r="M39" s="197"/>
    </row>
    <row r="40" spans="2:18" s="61" customFormat="1" ht="15" customHeight="1">
      <c r="E40" s="83" t="s">
        <v>35</v>
      </c>
      <c r="F40" s="297">
        <f>+E19</f>
        <v>15132</v>
      </c>
      <c r="G40" s="86"/>
      <c r="I40" s="214"/>
      <c r="J40" s="13"/>
      <c r="K40" s="87"/>
      <c r="L40" s="161"/>
      <c r="M40" s="197"/>
      <c r="N40" s="272"/>
      <c r="P40" s="273"/>
      <c r="R40" s="273"/>
    </row>
    <row r="41" spans="2:18" s="61" customFormat="1" ht="15" customHeight="1">
      <c r="E41" s="83" t="s">
        <v>36</v>
      </c>
      <c r="F41" s="297">
        <v>0</v>
      </c>
      <c r="G41" s="9"/>
      <c r="I41" s="197"/>
      <c r="J41" s="13"/>
      <c r="M41" s="197"/>
    </row>
    <row r="42" spans="2:18" s="61" customFormat="1" ht="15" customHeight="1">
      <c r="E42" s="83" t="s">
        <v>37</v>
      </c>
      <c r="F42" s="297">
        <v>0</v>
      </c>
      <c r="G42" s="9"/>
      <c r="I42" s="197"/>
      <c r="J42" s="13"/>
      <c r="M42" s="197"/>
      <c r="N42" s="272"/>
      <c r="P42" s="273"/>
      <c r="R42" s="273"/>
    </row>
    <row r="43" spans="2:18" s="61" customFormat="1" ht="15" customHeight="1">
      <c r="E43" s="85" t="s">
        <v>38</v>
      </c>
      <c r="F43" s="231">
        <f>SUM(F39:F42)</f>
        <v>46059.669999999984</v>
      </c>
      <c r="G43" s="9"/>
      <c r="H43" s="163"/>
      <c r="I43" s="229"/>
      <c r="J43" s="13"/>
      <c r="M43" s="197"/>
    </row>
    <row r="44" spans="2:18" s="61" customFormat="1" ht="15" customHeight="1">
      <c r="E44" s="87"/>
      <c r="F44" s="232"/>
      <c r="G44" s="9"/>
      <c r="H44" s="165"/>
      <c r="I44" s="230"/>
      <c r="J44" s="13"/>
      <c r="M44" s="197"/>
      <c r="N44" s="272"/>
      <c r="P44" s="273"/>
      <c r="R44" s="273"/>
    </row>
    <row r="45" spans="2:18" s="61" customFormat="1" ht="15" customHeight="1">
      <c r="E45" s="87" t="s">
        <v>152</v>
      </c>
      <c r="F45" s="232">
        <v>270000</v>
      </c>
      <c r="G45" s="9"/>
      <c r="H45" s="165"/>
      <c r="I45" s="230"/>
      <c r="J45" s="13"/>
      <c r="M45" s="197"/>
      <c r="N45" s="272"/>
      <c r="P45" s="273"/>
      <c r="R45" s="273"/>
    </row>
    <row r="46" spans="2:18" s="61" customFormat="1" ht="15" customHeight="1">
      <c r="E46" s="87" t="s">
        <v>116</v>
      </c>
      <c r="F46" s="232">
        <v>0</v>
      </c>
      <c r="G46" s="9"/>
      <c r="H46" s="165"/>
      <c r="I46" s="230"/>
      <c r="J46" s="13"/>
      <c r="M46" s="197"/>
      <c r="N46" s="272"/>
      <c r="P46" s="273"/>
      <c r="R46" s="273"/>
    </row>
    <row r="47" spans="2:18" s="61" customFormat="1" ht="15" customHeight="1">
      <c r="E47" s="87" t="s">
        <v>52</v>
      </c>
      <c r="F47" s="232">
        <v>38424.36</v>
      </c>
      <c r="G47" s="9"/>
      <c r="H47" s="165"/>
      <c r="I47" s="230"/>
      <c r="J47" s="13"/>
      <c r="M47" s="197"/>
      <c r="N47" s="272"/>
      <c r="P47" s="273"/>
      <c r="R47" s="273"/>
    </row>
    <row r="48" spans="2:18" s="61" customFormat="1" ht="15" customHeight="1">
      <c r="E48" s="87" t="s">
        <v>53</v>
      </c>
      <c r="F48" s="232">
        <v>0</v>
      </c>
      <c r="G48" s="9"/>
      <c r="H48" s="165"/>
      <c r="I48" s="230"/>
      <c r="J48" s="13"/>
      <c r="M48" s="197"/>
      <c r="N48" s="272"/>
      <c r="P48" s="273"/>
      <c r="R48" s="273"/>
    </row>
    <row r="49" spans="2:18" s="61" customFormat="1" ht="15" customHeight="1">
      <c r="E49" s="87" t="s">
        <v>398</v>
      </c>
      <c r="F49" s="232">
        <v>0</v>
      </c>
      <c r="G49" s="9"/>
      <c r="H49" s="165"/>
      <c r="I49" s="230"/>
      <c r="J49" s="13"/>
      <c r="M49" s="197"/>
      <c r="N49" s="272"/>
      <c r="P49" s="273"/>
      <c r="R49" s="273"/>
    </row>
    <row r="50" spans="2:18" s="61" customFormat="1" ht="15" customHeight="1">
      <c r="E50" s="91" t="s">
        <v>24</v>
      </c>
      <c r="F50" s="228">
        <f>15000+65000</f>
        <v>80000</v>
      </c>
      <c r="G50" s="8"/>
      <c r="H50" s="91"/>
      <c r="I50" s="231"/>
      <c r="J50" s="13"/>
    </row>
    <row r="51" spans="2:18" s="61" customFormat="1" ht="15" customHeight="1">
      <c r="E51" s="91" t="s">
        <v>22</v>
      </c>
      <c r="F51" s="228">
        <v>50000</v>
      </c>
      <c r="G51" s="8"/>
      <c r="H51" s="96"/>
      <c r="I51" s="231"/>
      <c r="J51" s="262"/>
    </row>
    <row r="52" spans="2:18" s="61" customFormat="1">
      <c r="E52" s="91" t="s">
        <v>40</v>
      </c>
      <c r="F52" s="232">
        <f>250000-60000</f>
        <v>190000</v>
      </c>
      <c r="G52" s="82"/>
      <c r="H52" s="83"/>
      <c r="I52" s="228"/>
      <c r="J52" s="13"/>
    </row>
    <row r="53" spans="2:18" s="61" customFormat="1">
      <c r="E53" s="96" t="s">
        <v>41</v>
      </c>
      <c r="F53" s="231">
        <f>SUM(F45:F52)</f>
        <v>628424.36</v>
      </c>
      <c r="G53" s="82"/>
      <c r="H53" s="83"/>
      <c r="I53" s="233"/>
      <c r="J53" s="13"/>
    </row>
    <row r="54" spans="2:18" s="61" customFormat="1">
      <c r="E54" s="96" t="s">
        <v>42</v>
      </c>
      <c r="F54" s="231">
        <f>F43-F53</f>
        <v>-582364.68999999994</v>
      </c>
      <c r="G54" s="82"/>
      <c r="H54" s="83"/>
      <c r="I54" s="233"/>
      <c r="J54" s="13"/>
    </row>
    <row r="55" spans="2:18" s="61" customFormat="1">
      <c r="E55" s="83"/>
      <c r="F55" s="151"/>
      <c r="G55" s="82"/>
      <c r="H55" s="83"/>
      <c r="I55" s="233"/>
      <c r="J55" s="13"/>
      <c r="L55" s="91"/>
      <c r="M55" s="232"/>
    </row>
    <row r="56" spans="2:18" s="61" customFormat="1">
      <c r="E56" s="83" t="s">
        <v>43</v>
      </c>
      <c r="F56" s="151">
        <v>0</v>
      </c>
      <c r="G56" s="82"/>
      <c r="H56" s="96"/>
      <c r="I56" s="228"/>
      <c r="J56" s="13"/>
      <c r="L56" s="91"/>
      <c r="M56" s="232"/>
    </row>
    <row r="57" spans="2:18" s="61" customFormat="1">
      <c r="E57" s="83" t="s">
        <v>44</v>
      </c>
      <c r="F57" s="151">
        <v>170000</v>
      </c>
      <c r="G57" s="82"/>
      <c r="H57" s="96"/>
      <c r="I57" s="228"/>
      <c r="J57" s="13"/>
      <c r="L57" s="91"/>
      <c r="M57" s="232"/>
    </row>
    <row r="58" spans="2:18" s="61" customFormat="1">
      <c r="E58" s="83" t="s">
        <v>386</v>
      </c>
      <c r="F58" s="151">
        <v>3866.8</v>
      </c>
      <c r="G58" s="82"/>
      <c r="H58" s="83"/>
      <c r="I58" s="233"/>
      <c r="J58" s="13"/>
      <c r="L58" s="96"/>
      <c r="M58" s="231"/>
    </row>
    <row r="59" spans="2:18" s="61" customFormat="1">
      <c r="E59" s="83" t="s">
        <v>45</v>
      </c>
      <c r="F59" s="95">
        <v>993098.58</v>
      </c>
      <c r="G59" s="8"/>
      <c r="H59" s="96"/>
      <c r="I59" s="219"/>
      <c r="J59" s="13"/>
      <c r="L59" s="96"/>
      <c r="M59" s="233"/>
    </row>
    <row r="60" spans="2:18" s="61" customFormat="1">
      <c r="E60" s="83" t="s">
        <v>205</v>
      </c>
      <c r="F60" s="95">
        <v>491772.53</v>
      </c>
      <c r="G60" s="8"/>
      <c r="J60" s="13"/>
    </row>
    <row r="61" spans="2:18" s="61" customFormat="1">
      <c r="B61"/>
      <c r="C61"/>
      <c r="D61"/>
      <c r="E61" s="83" t="s">
        <v>206</v>
      </c>
      <c r="F61" s="95">
        <v>0</v>
      </c>
      <c r="G61" s="8"/>
      <c r="J61" s="13"/>
      <c r="L61" s="83"/>
      <c r="M61" s="228"/>
    </row>
    <row r="62" spans="2:18">
      <c r="E62" s="96" t="s">
        <v>46</v>
      </c>
      <c r="F62" s="99">
        <f>SUM(F56:F61)</f>
        <v>1658737.91</v>
      </c>
      <c r="G62" s="8"/>
      <c r="L62" s="61"/>
      <c r="M62" s="61"/>
    </row>
    <row r="63" spans="2:18">
      <c r="E63" s="83"/>
      <c r="F63" s="151"/>
      <c r="G63" s="8"/>
      <c r="L63" s="61"/>
      <c r="M63" s="61"/>
    </row>
    <row r="64" spans="2:18">
      <c r="E64" s="96" t="s">
        <v>47</v>
      </c>
      <c r="F64" s="99">
        <f>F54-F62</f>
        <v>-2241102.5999999996</v>
      </c>
      <c r="G64" s="8"/>
    </row>
    <row r="65" spans="1:7">
      <c r="D65" s="247" t="s">
        <v>192</v>
      </c>
      <c r="E65" s="61"/>
      <c r="F65" s="219"/>
      <c r="G65" s="8"/>
    </row>
    <row r="66" spans="1:7">
      <c r="D66" s="247" t="s">
        <v>194</v>
      </c>
      <c r="E66" s="61"/>
      <c r="F66" s="219"/>
      <c r="G66" s="8"/>
    </row>
    <row r="67" spans="1:7">
      <c r="D67" s="8" t="s">
        <v>9</v>
      </c>
      <c r="E67" s="61"/>
      <c r="F67" s="219"/>
      <c r="G67" s="124">
        <f>SUM(E75:F75)</f>
        <v>0</v>
      </c>
    </row>
    <row r="68" spans="1:7">
      <c r="D68" s="8" t="s">
        <v>195</v>
      </c>
      <c r="E68" s="61"/>
      <c r="F68" s="219"/>
      <c r="G68" s="8"/>
    </row>
    <row r="69" spans="1:7">
      <c r="D69" s="8" t="s">
        <v>188</v>
      </c>
      <c r="E69" s="243"/>
      <c r="F69" s="243"/>
      <c r="G69" s="8"/>
    </row>
    <row r="70" spans="1:7">
      <c r="D70" s="8"/>
      <c r="E70" s="243"/>
      <c r="F70" s="244"/>
    </row>
    <row r="71" spans="1:7">
      <c r="E71" s="245"/>
      <c r="F71" s="246"/>
    </row>
    <row r="72" spans="1:7">
      <c r="E72" s="245"/>
      <c r="F72" s="246"/>
    </row>
    <row r="73" spans="1:7">
      <c r="E73" s="249"/>
      <c r="F73" s="287"/>
    </row>
    <row r="74" spans="1:7">
      <c r="E74" s="124"/>
      <c r="F74" s="287"/>
    </row>
    <row r="75" spans="1:7">
      <c r="E75" s="8"/>
    </row>
    <row r="76" spans="1:7">
      <c r="E76" s="8"/>
    </row>
    <row r="77" spans="1:7">
      <c r="A77" s="268"/>
      <c r="E77" s="8"/>
    </row>
    <row r="78" spans="1:7">
      <c r="E78" s="8"/>
    </row>
    <row r="79" spans="1:7">
      <c r="B79" s="235"/>
      <c r="E79" s="8"/>
    </row>
    <row r="80" spans="1:7">
      <c r="E80" s="8"/>
    </row>
    <row r="81" spans="1:5">
      <c r="E81" s="293"/>
    </row>
    <row r="82" spans="1:5">
      <c r="C82" s="155"/>
      <c r="E82" s="8"/>
    </row>
    <row r="83" spans="1:5">
      <c r="A83" s="269"/>
      <c r="E83" s="293"/>
    </row>
    <row r="84" spans="1:5">
      <c r="C84" s="155"/>
      <c r="E84" s="8"/>
    </row>
    <row r="85" spans="1:5">
      <c r="A85" s="269"/>
      <c r="E85" s="293"/>
    </row>
    <row r="86" spans="1:5">
      <c r="C86" s="155"/>
      <c r="E86" s="8"/>
    </row>
    <row r="87" spans="1:5">
      <c r="A87" s="269"/>
      <c r="E87" s="293"/>
    </row>
    <row r="88" spans="1:5">
      <c r="C88" s="155"/>
      <c r="E88" s="8"/>
    </row>
    <row r="89" spans="1:5">
      <c r="A89" s="269"/>
      <c r="E89" s="293"/>
    </row>
    <row r="90" spans="1:5">
      <c r="C90" s="155"/>
      <c r="E90" s="8"/>
    </row>
    <row r="91" spans="1:5">
      <c r="A91" s="269"/>
      <c r="E91" s="293"/>
    </row>
    <row r="92" spans="1:5">
      <c r="C92" s="155"/>
      <c r="E92" s="8"/>
    </row>
    <row r="93" spans="1:5">
      <c r="A93" s="269"/>
      <c r="E93" s="293"/>
    </row>
    <row r="94" spans="1:5">
      <c r="C94" s="155"/>
      <c r="E94" s="8"/>
    </row>
    <row r="95" spans="1:5">
      <c r="A95" s="269"/>
      <c r="E95" s="293"/>
    </row>
    <row r="96" spans="1:5">
      <c r="C96" s="155"/>
      <c r="E96" s="8"/>
    </row>
    <row r="97" spans="1:5">
      <c r="A97" s="269"/>
      <c r="E97" s="293"/>
    </row>
    <row r="98" spans="1:5">
      <c r="C98" s="155"/>
      <c r="E98" s="8"/>
    </row>
    <row r="99" spans="1:5">
      <c r="A99" s="269"/>
      <c r="E99" s="293"/>
    </row>
    <row r="100" spans="1:5">
      <c r="C100" s="155"/>
      <c r="E100" s="8"/>
    </row>
    <row r="101" spans="1:5">
      <c r="A101" s="269"/>
      <c r="E101" s="293"/>
    </row>
    <row r="102" spans="1:5">
      <c r="C102" s="155"/>
      <c r="E102" s="8"/>
    </row>
    <row r="103" spans="1:5">
      <c r="A103" s="269"/>
      <c r="E103" s="293"/>
    </row>
    <row r="104" spans="1:5">
      <c r="C104" s="155"/>
      <c r="E104" s="8"/>
    </row>
    <row r="105" spans="1:5">
      <c r="A105" s="269"/>
      <c r="E105" s="293"/>
    </row>
    <row r="106" spans="1:5">
      <c r="C106" s="155"/>
      <c r="E106" s="8"/>
    </row>
    <row r="107" spans="1:5">
      <c r="A107" s="269"/>
      <c r="E107" s="293"/>
    </row>
    <row r="108" spans="1:5">
      <c r="C108" s="155"/>
      <c r="E108" s="8"/>
    </row>
    <row r="109" spans="1:5">
      <c r="A109" s="269"/>
      <c r="E109" s="293"/>
    </row>
    <row r="110" spans="1:5">
      <c r="C110" s="155"/>
      <c r="E110" s="8"/>
    </row>
    <row r="111" spans="1:5">
      <c r="A111" s="269"/>
      <c r="E111" s="293"/>
    </row>
    <row r="112" spans="1:5">
      <c r="C112" s="155"/>
      <c r="E112" s="8"/>
    </row>
    <row r="113" spans="1:5">
      <c r="A113" s="269"/>
      <c r="E113" s="277"/>
    </row>
    <row r="114" spans="1:5">
      <c r="C114" s="155"/>
      <c r="E114" s="79"/>
    </row>
    <row r="115" spans="1:5">
      <c r="A115" s="269"/>
      <c r="E115" s="277"/>
    </row>
    <row r="116" spans="1:5">
      <c r="C116" s="155"/>
      <c r="E116" s="79"/>
    </row>
    <row r="117" spans="1:5">
      <c r="A117" s="269"/>
      <c r="E117" s="277"/>
    </row>
    <row r="118" spans="1:5">
      <c r="C118" s="155"/>
      <c r="E118" s="79"/>
    </row>
    <row r="119" spans="1:5">
      <c r="A119" s="269"/>
      <c r="E119" s="277"/>
    </row>
    <row r="120" spans="1:5">
      <c r="C120" s="155"/>
      <c r="E120" s="79"/>
    </row>
    <row r="121" spans="1:5">
      <c r="A121" s="269"/>
      <c r="E121" s="277"/>
    </row>
    <row r="122" spans="1:5">
      <c r="C122" s="155"/>
      <c r="E122" s="79"/>
    </row>
    <row r="123" spans="1:5">
      <c r="A123" s="269"/>
      <c r="E123" s="277"/>
    </row>
    <row r="124" spans="1:5">
      <c r="C124" s="155"/>
      <c r="E124" s="79"/>
    </row>
    <row r="125" spans="1:5">
      <c r="A125" s="269"/>
      <c r="E125" s="277"/>
    </row>
    <row r="126" spans="1:5">
      <c r="C126" s="155"/>
    </row>
    <row r="127" spans="1:5">
      <c r="A127" s="269"/>
      <c r="E127" s="155"/>
    </row>
    <row r="128" spans="1:5">
      <c r="C128" s="155"/>
    </row>
    <row r="129" spans="1:5">
      <c r="A129" s="269"/>
      <c r="E129" s="155"/>
    </row>
    <row r="130" spans="1:5">
      <c r="C130" s="155"/>
    </row>
    <row r="131" spans="1:5">
      <c r="A131" s="269"/>
      <c r="E131" s="155"/>
    </row>
    <row r="132" spans="1:5">
      <c r="C132" s="155"/>
    </row>
    <row r="133" spans="1:5">
      <c r="A133" s="269"/>
      <c r="E133" s="155"/>
    </row>
    <row r="134" spans="1:5">
      <c r="C134" s="155"/>
    </row>
    <row r="135" spans="1:5">
      <c r="A135" s="269"/>
      <c r="E135" s="155"/>
    </row>
    <row r="136" spans="1:5">
      <c r="C136" s="155"/>
    </row>
    <row r="137" spans="1:5">
      <c r="A137" s="269"/>
      <c r="E137" s="155"/>
    </row>
    <row r="138" spans="1:5">
      <c r="C138" s="155"/>
    </row>
    <row r="139" spans="1:5">
      <c r="A139" s="269"/>
      <c r="E139" s="155"/>
    </row>
    <row r="140" spans="1:5">
      <c r="C140" s="155"/>
    </row>
    <row r="141" spans="1:5">
      <c r="A141" s="269"/>
      <c r="E141" s="155"/>
    </row>
    <row r="142" spans="1:5">
      <c r="C142" s="155"/>
    </row>
    <row r="143" spans="1:5">
      <c r="A143" s="269"/>
      <c r="E143" s="155"/>
    </row>
    <row r="144" spans="1:5">
      <c r="C144" s="155"/>
    </row>
    <row r="145" spans="1:5">
      <c r="A145" s="269"/>
      <c r="E145" s="155"/>
    </row>
    <row r="146" spans="1:5">
      <c r="C146" s="155"/>
    </row>
    <row r="147" spans="1:5">
      <c r="A147" s="269"/>
      <c r="E147" s="155"/>
    </row>
    <row r="148" spans="1:5">
      <c r="C148" s="155"/>
    </row>
    <row r="149" spans="1:5">
      <c r="A149" s="269"/>
      <c r="E149" s="155"/>
    </row>
    <row r="150" spans="1:5">
      <c r="C150" s="155"/>
    </row>
    <row r="151" spans="1:5">
      <c r="A151" s="269"/>
      <c r="E151" s="155"/>
    </row>
    <row r="152" spans="1:5">
      <c r="C152" s="155"/>
    </row>
    <row r="153" spans="1:5">
      <c r="A153" s="269"/>
      <c r="E153" s="155"/>
    </row>
    <row r="154" spans="1:5">
      <c r="C154" s="155"/>
    </row>
    <row r="155" spans="1:5">
      <c r="A155" s="269"/>
      <c r="E155" s="155"/>
    </row>
    <row r="156" spans="1:5">
      <c r="C156" s="155"/>
    </row>
    <row r="157" spans="1:5">
      <c r="A157" s="269"/>
      <c r="E157" s="155"/>
    </row>
    <row r="158" spans="1:5">
      <c r="C158" s="155"/>
    </row>
    <row r="159" spans="1:5">
      <c r="A159" s="269"/>
      <c r="E159" s="155"/>
    </row>
    <row r="160" spans="1:5">
      <c r="C160" s="155"/>
    </row>
    <row r="161" spans="1:5">
      <c r="A161" s="269"/>
      <c r="E161" s="155"/>
    </row>
    <row r="162" spans="1:5">
      <c r="C162" s="155"/>
    </row>
    <row r="163" spans="1:5">
      <c r="A163" s="269"/>
      <c r="E163" s="155"/>
    </row>
    <row r="164" spans="1:5">
      <c r="C164" s="155"/>
    </row>
    <row r="165" spans="1:5">
      <c r="A165" s="269"/>
      <c r="E165" s="155"/>
    </row>
    <row r="166" spans="1:5">
      <c r="C166" s="155"/>
    </row>
    <row r="167" spans="1:5">
      <c r="A167" s="269"/>
      <c r="E167" s="155"/>
    </row>
    <row r="168" spans="1:5">
      <c r="C168" s="155"/>
    </row>
    <row r="169" spans="1:5">
      <c r="A169" s="269"/>
      <c r="E169" s="155"/>
    </row>
    <row r="170" spans="1:5">
      <c r="C170" s="155"/>
    </row>
    <row r="171" spans="1:5">
      <c r="A171" s="269"/>
      <c r="E171" s="155"/>
    </row>
    <row r="172" spans="1:5">
      <c r="C172" s="155"/>
    </row>
    <row r="173" spans="1:5">
      <c r="A173" s="269"/>
      <c r="E173" s="155"/>
    </row>
    <row r="174" spans="1:5">
      <c r="C174" s="155"/>
    </row>
    <row r="175" spans="1:5">
      <c r="A175" s="269"/>
      <c r="E175" s="155"/>
    </row>
    <row r="176" spans="1:5">
      <c r="C176" s="155"/>
    </row>
    <row r="177" spans="1:5">
      <c r="A177" s="269"/>
      <c r="E177" s="155"/>
    </row>
    <row r="178" spans="1:5">
      <c r="C178" s="155"/>
    </row>
    <row r="179" spans="1:5">
      <c r="A179" s="269"/>
      <c r="E179" s="155"/>
    </row>
    <row r="180" spans="1:5">
      <c r="C180" s="155"/>
    </row>
    <row r="181" spans="1:5">
      <c r="A181" s="269"/>
      <c r="E181" s="155"/>
    </row>
    <row r="182" spans="1:5">
      <c r="C182" s="155"/>
    </row>
    <row r="183" spans="1:5">
      <c r="A183" s="269"/>
      <c r="E183" s="155"/>
    </row>
    <row r="184" spans="1:5">
      <c r="C184" s="155"/>
    </row>
    <row r="185" spans="1:5">
      <c r="A185" s="269"/>
      <c r="E185" s="155"/>
    </row>
    <row r="186" spans="1:5">
      <c r="C186" s="155"/>
    </row>
    <row r="187" spans="1:5">
      <c r="A187" s="269"/>
      <c r="E187" s="155"/>
    </row>
    <row r="188" spans="1:5">
      <c r="C188" s="155"/>
    </row>
    <row r="189" spans="1:5">
      <c r="A189" s="269"/>
      <c r="E189" s="155"/>
    </row>
    <row r="190" spans="1:5">
      <c r="C190" s="155"/>
    </row>
    <row r="191" spans="1:5">
      <c r="A191" s="269"/>
      <c r="E191" s="155"/>
    </row>
    <row r="192" spans="1:5">
      <c r="C192" s="155"/>
    </row>
    <row r="193" spans="1:5">
      <c r="A193" s="269"/>
      <c r="E193" s="155"/>
    </row>
    <row r="194" spans="1:5">
      <c r="C194" s="155"/>
    </row>
    <row r="195" spans="1:5">
      <c r="A195" s="269"/>
      <c r="E195" s="155"/>
    </row>
    <row r="196" spans="1:5">
      <c r="C196" s="155"/>
    </row>
    <row r="197" spans="1:5">
      <c r="A197" s="269"/>
      <c r="E197" s="155"/>
    </row>
    <row r="198" spans="1:5">
      <c r="C198" s="155"/>
    </row>
    <row r="199" spans="1:5">
      <c r="A199" s="269"/>
      <c r="E199" s="155"/>
    </row>
    <row r="200" spans="1:5">
      <c r="C200" s="155"/>
    </row>
    <row r="201" spans="1:5">
      <c r="A201" s="269"/>
      <c r="E201" s="155"/>
    </row>
    <row r="202" spans="1:5">
      <c r="D202" s="155"/>
    </row>
    <row r="203" spans="1:5">
      <c r="A203" s="269"/>
      <c r="E203" s="155"/>
    </row>
    <row r="204" spans="1:5">
      <c r="C204" s="155"/>
    </row>
    <row r="205" spans="1:5">
      <c r="A205" s="269"/>
      <c r="E205" s="155"/>
    </row>
    <row r="206" spans="1:5">
      <c r="C206" s="155"/>
    </row>
    <row r="207" spans="1:5">
      <c r="A207" s="269"/>
      <c r="E207" s="155"/>
    </row>
    <row r="208" spans="1:5">
      <c r="C208" s="155"/>
    </row>
    <row r="209" spans="1:5">
      <c r="A209" s="269"/>
      <c r="E209" s="155"/>
    </row>
    <row r="210" spans="1:5">
      <c r="C210" s="155"/>
    </row>
    <row r="211" spans="1:5">
      <c r="A211" s="269"/>
      <c r="E211" s="155"/>
    </row>
    <row r="212" spans="1:5">
      <c r="C212" s="155"/>
    </row>
    <row r="213" spans="1:5">
      <c r="A213" s="269"/>
    </row>
  </sheetData>
  <mergeCells count="16"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C03BF-E9AE-4770-A13F-853BB0F0A903}">
  <dimension ref="A6:P213"/>
  <sheetViews>
    <sheetView showGridLines="0" workbookViewId="0">
      <selection sqref="A1:XFD1048576"/>
    </sheetView>
  </sheetViews>
  <sheetFormatPr baseColWidth="10" defaultRowHeight="14.5"/>
  <cols>
    <col min="2" max="2" width="16.54296875" customWidth="1"/>
    <col min="4" max="4" width="22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</row>
    <row r="12" spans="1:12" ht="19" thickBot="1">
      <c r="A12" s="1"/>
      <c r="B12" s="331" t="s">
        <v>2</v>
      </c>
      <c r="C12" s="332"/>
      <c r="D12" s="332"/>
      <c r="E12" s="333"/>
      <c r="F12" s="295"/>
      <c r="G12" s="296"/>
      <c r="H12" s="1"/>
      <c r="I12" s="1"/>
      <c r="J12" s="76"/>
      <c r="K12" s="1"/>
    </row>
    <row r="13" spans="1:12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</row>
    <row r="14" spans="1:12" ht="18" thickBot="1">
      <c r="A14" s="11"/>
      <c r="B14" s="334" t="s">
        <v>3</v>
      </c>
      <c r="C14" s="335"/>
      <c r="D14" s="336"/>
      <c r="E14" s="17">
        <f>SUM(E15:E17)</f>
        <v>424379.17</v>
      </c>
      <c r="F14" s="264"/>
      <c r="G14" s="331" t="s">
        <v>4</v>
      </c>
      <c r="H14" s="332"/>
      <c r="I14" s="332"/>
      <c r="J14" s="332"/>
      <c r="K14" s="333"/>
      <c r="L14" s="13"/>
    </row>
    <row r="15" spans="1:12">
      <c r="A15" s="1"/>
      <c r="B15" s="337" t="s">
        <v>5</v>
      </c>
      <c r="C15" s="338"/>
      <c r="D15" s="339"/>
      <c r="E15" s="20">
        <f>J16+J17+J18+J19</f>
        <v>327314.07</v>
      </c>
      <c r="F15" s="153"/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43853.61</v>
      </c>
      <c r="F16" s="153"/>
      <c r="G16" s="22">
        <v>18475.22</v>
      </c>
      <c r="H16" s="23" t="s">
        <v>8</v>
      </c>
      <c r="I16" s="24"/>
      <c r="J16" s="25">
        <v>21389.08</v>
      </c>
      <c r="K16" s="26" t="s">
        <v>9</v>
      </c>
      <c r="L16" s="19"/>
    </row>
    <row r="17" spans="1:16">
      <c r="A17" s="1"/>
      <c r="B17" s="352" t="s">
        <v>6</v>
      </c>
      <c r="C17" s="353"/>
      <c r="D17" s="354"/>
      <c r="E17" s="28">
        <f>G16+G17+G18</f>
        <v>53211.490000000005</v>
      </c>
      <c r="F17" s="153">
        <f>E15+E16+E17</f>
        <v>424379.17</v>
      </c>
      <c r="G17" s="22">
        <v>14944.41</v>
      </c>
      <c r="H17" s="29" t="s">
        <v>10</v>
      </c>
      <c r="I17" s="30"/>
      <c r="J17" s="25">
        <v>96454.73</v>
      </c>
      <c r="K17" s="31" t="s">
        <v>10</v>
      </c>
      <c r="L17" s="13"/>
    </row>
    <row r="18" spans="1:16">
      <c r="A18" s="1"/>
      <c r="B18" s="236" t="s">
        <v>187</v>
      </c>
      <c r="C18" s="237"/>
      <c r="D18" s="238"/>
      <c r="E18" s="28">
        <f>+J22</f>
        <v>20822.95</v>
      </c>
      <c r="F18" s="153">
        <v>180000</v>
      </c>
      <c r="G18" s="22">
        <v>19791.86</v>
      </c>
      <c r="H18" s="29" t="s">
        <v>12</v>
      </c>
      <c r="I18" s="30"/>
      <c r="J18" s="25">
        <v>201985.19</v>
      </c>
      <c r="K18" s="31" t="s">
        <v>12</v>
      </c>
      <c r="L18" s="13"/>
    </row>
    <row r="19" spans="1:16">
      <c r="B19" s="379" t="s">
        <v>11</v>
      </c>
      <c r="C19" s="380"/>
      <c r="D19" s="381"/>
      <c r="E19" s="20">
        <f>G29+G31+G30+G28</f>
        <v>15135.39</v>
      </c>
      <c r="F19" s="153">
        <f>+F17-F18</f>
        <v>244379.16999999998</v>
      </c>
      <c r="G19" s="33"/>
      <c r="H19" s="34"/>
      <c r="I19" s="30"/>
      <c r="J19" s="25">
        <v>7485.07</v>
      </c>
      <c r="K19" s="31" t="s">
        <v>14</v>
      </c>
    </row>
    <row r="20" spans="1:16">
      <c r="B20" s="344" t="s">
        <v>13</v>
      </c>
      <c r="C20" s="345"/>
      <c r="D20" s="346"/>
      <c r="E20" s="20">
        <v>14427053.460000001</v>
      </c>
      <c r="F20" s="153"/>
      <c r="G20" s="239"/>
      <c r="H20" s="240"/>
      <c r="I20" s="30"/>
      <c r="J20" s="25"/>
      <c r="K20" s="31"/>
      <c r="L20" s="152"/>
    </row>
    <row r="21" spans="1:16">
      <c r="B21" s="187" t="s">
        <v>15</v>
      </c>
      <c r="C21" s="188"/>
      <c r="D21" s="189"/>
      <c r="E21" s="190">
        <f>SUM(E22:E25)</f>
        <v>258806.31</v>
      </c>
      <c r="F21" s="153"/>
      <c r="G21" s="361" t="s">
        <v>16</v>
      </c>
      <c r="H21" s="362"/>
      <c r="I21" s="36"/>
      <c r="J21" s="241" t="s">
        <v>187</v>
      </c>
      <c r="K21" s="242"/>
      <c r="L21" s="294"/>
    </row>
    <row r="22" spans="1:16" ht="15" customHeight="1">
      <c r="B22" s="303"/>
      <c r="C22" s="304"/>
      <c r="D22" s="308" t="s">
        <v>382</v>
      </c>
      <c r="E22" s="190">
        <v>75419.08</v>
      </c>
      <c r="F22" s="153"/>
      <c r="G22" s="44">
        <v>17362.439999999999</v>
      </c>
      <c r="H22" s="29" t="s">
        <v>10</v>
      </c>
      <c r="I22" s="30"/>
      <c r="J22" s="25">
        <v>20822.95</v>
      </c>
      <c r="K22" s="31" t="s">
        <v>188</v>
      </c>
      <c r="L22" s="294"/>
    </row>
    <row r="23" spans="1:16" ht="15" customHeight="1">
      <c r="B23" s="301"/>
      <c r="C23" s="302"/>
      <c r="D23" s="308" t="s">
        <v>90</v>
      </c>
      <c r="E23" s="190">
        <v>182459.23</v>
      </c>
      <c r="F23" s="153"/>
      <c r="G23" s="44">
        <v>26491.17</v>
      </c>
      <c r="H23" s="29" t="s">
        <v>18</v>
      </c>
      <c r="I23" s="30"/>
      <c r="J23" s="25"/>
      <c r="K23" s="31"/>
      <c r="L23" s="294"/>
    </row>
    <row r="24" spans="1:16" ht="15" thickBot="1">
      <c r="B24" s="187"/>
      <c r="C24" s="188"/>
      <c r="D24" s="198" t="s">
        <v>403</v>
      </c>
      <c r="E24" s="190">
        <v>928</v>
      </c>
      <c r="F24" s="153"/>
      <c r="G24" s="51"/>
      <c r="H24" s="34"/>
      <c r="I24" s="30"/>
      <c r="J24" s="210"/>
      <c r="K24" s="53"/>
      <c r="L24" s="294"/>
      <c r="M24" s="235"/>
    </row>
    <row r="25" spans="1:16" ht="15" thickBot="1">
      <c r="B25" s="187"/>
      <c r="C25" s="188"/>
      <c r="D25" s="198"/>
      <c r="E25" s="190">
        <v>0</v>
      </c>
      <c r="F25" s="153"/>
      <c r="G25" s="331" t="s">
        <v>21</v>
      </c>
      <c r="H25" s="332"/>
      <c r="I25" s="332"/>
      <c r="J25" s="332"/>
      <c r="K25" s="333"/>
    </row>
    <row r="26" spans="1:16">
      <c r="B26" s="202" t="s">
        <v>17</v>
      </c>
      <c r="C26" s="203"/>
      <c r="D26" s="204"/>
      <c r="E26" s="234">
        <v>0</v>
      </c>
      <c r="F26" s="220"/>
      <c r="G26" s="54"/>
      <c r="H26" s="55"/>
      <c r="I26" s="56"/>
      <c r="J26" s="211"/>
      <c r="K26" s="58"/>
    </row>
    <row r="27" spans="1:16">
      <c r="B27" s="202" t="s">
        <v>163</v>
      </c>
      <c r="C27" s="203"/>
      <c r="D27" s="204"/>
      <c r="E27" s="234">
        <v>0</v>
      </c>
      <c r="F27" s="153">
        <f>+F19-E26</f>
        <v>244379.16999999998</v>
      </c>
      <c r="G27" s="377" t="s">
        <v>5</v>
      </c>
      <c r="H27" s="378"/>
      <c r="I27" s="59"/>
      <c r="J27" s="60"/>
      <c r="K27" s="45"/>
      <c r="O27" s="155"/>
      <c r="P27" s="155"/>
    </row>
    <row r="28" spans="1:16">
      <c r="B28" s="199" t="s">
        <v>22</v>
      </c>
      <c r="C28" s="200"/>
      <c r="D28" s="201"/>
      <c r="E28" s="234">
        <v>14539.4</v>
      </c>
      <c r="F28" s="288">
        <f>SUM(E26:E32)</f>
        <v>70181.59</v>
      </c>
      <c r="G28" s="22">
        <v>4198.87</v>
      </c>
      <c r="H28" s="62" t="s">
        <v>9</v>
      </c>
      <c r="I28" s="59"/>
      <c r="J28" s="60"/>
      <c r="K28" s="45"/>
      <c r="N28" s="155"/>
      <c r="P28" s="155"/>
    </row>
    <row r="29" spans="1:16">
      <c r="B29" s="199" t="s">
        <v>64</v>
      </c>
      <c r="C29" s="200"/>
      <c r="D29" s="201"/>
      <c r="E29" s="234">
        <v>0</v>
      </c>
      <c r="F29" s="153">
        <f>+F27-F28</f>
        <v>174197.58</v>
      </c>
      <c r="G29" s="22">
        <v>1711.13</v>
      </c>
      <c r="H29" s="62" t="s">
        <v>26</v>
      </c>
      <c r="I29" s="63"/>
      <c r="J29" s="64" t="s">
        <v>27</v>
      </c>
      <c r="K29" s="65" t="s">
        <v>28</v>
      </c>
    </row>
    <row r="30" spans="1:16">
      <c r="B30" s="199" t="s">
        <v>24</v>
      </c>
      <c r="C30" s="200"/>
      <c r="D30" s="201"/>
      <c r="E30" s="49">
        <v>55642.19</v>
      </c>
      <c r="F30" s="221"/>
      <c r="G30" s="67">
        <v>1915.67</v>
      </c>
      <c r="H30" s="68" t="s">
        <v>14</v>
      </c>
      <c r="I30" s="63"/>
      <c r="J30" s="64" t="s">
        <v>30</v>
      </c>
      <c r="K30" s="65" t="s">
        <v>31</v>
      </c>
      <c r="N30" s="155"/>
      <c r="P30" s="155"/>
    </row>
    <row r="31" spans="1:16" ht="15" thickBot="1">
      <c r="B31" s="344" t="s">
        <v>69</v>
      </c>
      <c r="C31" s="345"/>
      <c r="D31" s="346"/>
      <c r="E31" s="234">
        <v>0</v>
      </c>
      <c r="F31" s="220"/>
      <c r="G31" s="71">
        <v>7309.72</v>
      </c>
      <c r="H31" s="72" t="s">
        <v>12</v>
      </c>
      <c r="I31" s="73"/>
      <c r="J31" s="74" t="s">
        <v>32</v>
      </c>
      <c r="K31" s="75" t="s">
        <v>33</v>
      </c>
    </row>
    <row r="32" spans="1:16" ht="15" thickBot="1">
      <c r="B32" s="363" t="s">
        <v>29</v>
      </c>
      <c r="C32" s="364"/>
      <c r="D32" s="365"/>
      <c r="E32" s="66">
        <f>+F48</f>
        <v>0</v>
      </c>
      <c r="F32" s="220"/>
      <c r="N32" s="155"/>
      <c r="P32" s="155"/>
    </row>
    <row r="33" spans="2:16">
      <c r="E33" s="61"/>
      <c r="F33" s="219"/>
    </row>
    <row r="34" spans="2:16">
      <c r="E34" s="61"/>
      <c r="F34" s="219"/>
      <c r="H34" s="61"/>
      <c r="I34" s="61"/>
      <c r="J34" s="39"/>
      <c r="K34" s="61"/>
      <c r="N34" s="155"/>
      <c r="P34" s="155"/>
    </row>
    <row r="35" spans="2:16">
      <c r="E35" s="61"/>
      <c r="F35" s="219"/>
      <c r="G35" s="8"/>
      <c r="H35" s="61"/>
      <c r="I35" s="61"/>
      <c r="J35" s="39"/>
      <c r="K35" s="61"/>
    </row>
    <row r="36" spans="2:16">
      <c r="E36" s="61"/>
      <c r="F36" s="219"/>
      <c r="G36" s="8"/>
      <c r="H36" s="13"/>
      <c r="I36" s="61"/>
      <c r="J36" s="13"/>
      <c r="K36" s="83"/>
      <c r="L36" s="61"/>
      <c r="N36" s="155"/>
      <c r="P36" s="155"/>
    </row>
    <row r="37" spans="2:16">
      <c r="B37" s="61"/>
      <c r="C37" s="61"/>
      <c r="D37" s="61"/>
      <c r="E37" s="110" t="s">
        <v>401</v>
      </c>
      <c r="F37" s="299"/>
      <c r="G37" s="181"/>
      <c r="H37" s="161"/>
      <c r="I37" s="197"/>
      <c r="J37" s="13"/>
      <c r="K37" s="83"/>
      <c r="L37" s="61"/>
    </row>
    <row r="38" spans="2:16" s="61" customFormat="1" ht="15" customHeight="1">
      <c r="E38" s="110"/>
      <c r="F38" s="299"/>
      <c r="G38" s="86"/>
      <c r="I38" s="197"/>
      <c r="J38" s="13"/>
      <c r="K38" s="83"/>
      <c r="L38" s="88"/>
      <c r="N38" s="273"/>
      <c r="P38" s="273"/>
    </row>
    <row r="39" spans="2:16" s="61" customFormat="1" ht="15" customHeight="1">
      <c r="E39" s="82" t="s">
        <v>34</v>
      </c>
      <c r="F39" s="299">
        <f>F19</f>
        <v>244379.16999999998</v>
      </c>
      <c r="G39" s="86"/>
      <c r="H39" s="161"/>
      <c r="I39" s="197"/>
      <c r="J39" s="13"/>
      <c r="K39" s="85"/>
      <c r="L39" s="161"/>
    </row>
    <row r="40" spans="2:16" s="61" customFormat="1" ht="15" customHeight="1">
      <c r="E40" s="82" t="s">
        <v>35</v>
      </c>
      <c r="F40" s="299">
        <f>+E19</f>
        <v>15135.39</v>
      </c>
      <c r="G40" s="86"/>
      <c r="I40" s="214"/>
      <c r="J40" s="13"/>
      <c r="K40" s="87"/>
      <c r="L40" s="161"/>
      <c r="N40" s="273"/>
      <c r="P40" s="273"/>
    </row>
    <row r="41" spans="2:16" s="61" customFormat="1" ht="15" customHeight="1">
      <c r="E41" s="82" t="s">
        <v>36</v>
      </c>
      <c r="F41" s="299">
        <v>0</v>
      </c>
      <c r="G41" s="9"/>
      <c r="I41" s="197"/>
      <c r="J41" s="13"/>
    </row>
    <row r="42" spans="2:16" s="61" customFormat="1" ht="15" customHeight="1">
      <c r="E42" s="82" t="s">
        <v>37</v>
      </c>
      <c r="F42" s="299">
        <v>0</v>
      </c>
      <c r="G42" s="9"/>
      <c r="I42" s="197"/>
      <c r="J42" s="13"/>
      <c r="N42" s="273"/>
      <c r="P42" s="273"/>
    </row>
    <row r="43" spans="2:16" s="61" customFormat="1" ht="15" customHeight="1">
      <c r="E43" s="112" t="s">
        <v>38</v>
      </c>
      <c r="F43" s="225">
        <f>SUM(F39:F42)</f>
        <v>259514.56</v>
      </c>
      <c r="G43" s="9"/>
      <c r="H43" s="163"/>
      <c r="I43" s="229"/>
      <c r="J43" s="13"/>
    </row>
    <row r="44" spans="2:16" s="61" customFormat="1" ht="15" customHeight="1">
      <c r="E44" s="113"/>
      <c r="F44" s="226"/>
      <c r="G44" s="9"/>
      <c r="H44" s="165"/>
      <c r="I44" s="230"/>
      <c r="J44" s="13"/>
      <c r="N44" s="273"/>
      <c r="P44" s="273"/>
    </row>
    <row r="45" spans="2:16" s="61" customFormat="1" ht="15" customHeight="1">
      <c r="E45" s="113" t="s">
        <v>152</v>
      </c>
      <c r="F45" s="226">
        <v>270000</v>
      </c>
      <c r="G45" s="9"/>
      <c r="H45" s="165"/>
      <c r="I45" s="230"/>
      <c r="J45" s="13"/>
      <c r="N45" s="273"/>
      <c r="P45" s="273"/>
    </row>
    <row r="46" spans="2:16" s="61" customFormat="1" ht="15" customHeight="1">
      <c r="E46" s="113" t="s">
        <v>116</v>
      </c>
      <c r="F46" s="226">
        <v>0</v>
      </c>
      <c r="G46" s="9"/>
      <c r="H46" s="165"/>
      <c r="I46" s="230"/>
      <c r="J46" s="13"/>
      <c r="N46" s="273"/>
      <c r="P46" s="273"/>
    </row>
    <row r="47" spans="2:16" s="61" customFormat="1" ht="15" customHeight="1">
      <c r="E47" s="113" t="s">
        <v>52</v>
      </c>
      <c r="F47" s="226">
        <v>38424.36</v>
      </c>
      <c r="G47" s="9"/>
      <c r="H47" s="165"/>
      <c r="I47" s="230"/>
      <c r="J47" s="13"/>
      <c r="N47" s="273"/>
      <c r="P47" s="273"/>
    </row>
    <row r="48" spans="2:16" s="61" customFormat="1" ht="15" customHeight="1">
      <c r="E48" s="113" t="s">
        <v>53</v>
      </c>
      <c r="F48" s="226">
        <v>0</v>
      </c>
      <c r="G48" s="9"/>
      <c r="H48" s="165"/>
      <c r="I48" s="230"/>
      <c r="J48" s="13"/>
      <c r="N48" s="273"/>
      <c r="P48" s="273"/>
    </row>
    <row r="49" spans="2:16" s="61" customFormat="1" ht="15" customHeight="1">
      <c r="E49" s="113" t="s">
        <v>398</v>
      </c>
      <c r="F49" s="226">
        <v>0</v>
      </c>
      <c r="G49" s="9"/>
      <c r="H49" s="165"/>
      <c r="I49" s="230"/>
      <c r="J49" s="13"/>
      <c r="N49" s="273"/>
      <c r="P49" s="273"/>
    </row>
    <row r="50" spans="2:16" s="61" customFormat="1" ht="15" customHeight="1">
      <c r="E50" s="116" t="s">
        <v>24</v>
      </c>
      <c r="F50" s="221">
        <f>15000+65000</f>
        <v>80000</v>
      </c>
      <c r="G50" s="8"/>
      <c r="H50" s="91"/>
      <c r="I50" s="231"/>
      <c r="J50" s="13"/>
    </row>
    <row r="51" spans="2:16" s="61" customFormat="1" ht="15" customHeight="1">
      <c r="E51" s="116" t="s">
        <v>22</v>
      </c>
      <c r="F51" s="221">
        <v>50000</v>
      </c>
      <c r="G51" s="8"/>
      <c r="H51" s="96"/>
      <c r="I51" s="231"/>
      <c r="J51" s="262"/>
    </row>
    <row r="52" spans="2:16" s="61" customFormat="1">
      <c r="E52" s="116" t="s">
        <v>40</v>
      </c>
      <c r="F52" s="226">
        <f>250000-60000</f>
        <v>190000</v>
      </c>
      <c r="G52" s="82"/>
      <c r="H52" s="83"/>
      <c r="I52" s="228"/>
      <c r="J52" s="13"/>
    </row>
    <row r="53" spans="2:16" s="61" customFormat="1">
      <c r="E53" s="118" t="s">
        <v>41</v>
      </c>
      <c r="F53" s="225">
        <f>SUM(F45:F52)</f>
        <v>628424.36</v>
      </c>
      <c r="G53" s="82"/>
      <c r="H53" s="83"/>
      <c r="I53" s="233"/>
      <c r="J53" s="13"/>
    </row>
    <row r="54" spans="2:16" s="61" customFormat="1">
      <c r="E54" s="118" t="s">
        <v>42</v>
      </c>
      <c r="F54" s="225">
        <f>F43-F53</f>
        <v>-368909.8</v>
      </c>
      <c r="G54" s="82"/>
      <c r="H54" s="83"/>
      <c r="I54" s="233"/>
      <c r="J54" s="13"/>
    </row>
    <row r="55" spans="2:16" s="61" customFormat="1">
      <c r="E55" s="82"/>
      <c r="F55" s="80"/>
      <c r="G55" s="82"/>
      <c r="H55" s="83"/>
      <c r="I55" s="233"/>
      <c r="J55" s="13"/>
      <c r="L55" s="91"/>
    </row>
    <row r="56" spans="2:16" s="61" customFormat="1">
      <c r="E56" s="82" t="s">
        <v>43</v>
      </c>
      <c r="F56" s="80">
        <v>0</v>
      </c>
      <c r="G56" s="82"/>
      <c r="H56" s="96"/>
      <c r="I56" s="228"/>
      <c r="J56" s="13"/>
      <c r="L56" s="91"/>
    </row>
    <row r="57" spans="2:16" s="61" customFormat="1">
      <c r="E57" s="82" t="s">
        <v>44</v>
      </c>
      <c r="F57" s="80">
        <v>170000</v>
      </c>
      <c r="G57" s="82"/>
      <c r="H57" s="96"/>
      <c r="I57" s="228"/>
      <c r="J57" s="13"/>
      <c r="L57" s="91"/>
    </row>
    <row r="58" spans="2:16" s="61" customFormat="1">
      <c r="E58" s="82" t="s">
        <v>386</v>
      </c>
      <c r="F58" s="80">
        <v>3866.8</v>
      </c>
      <c r="G58" s="82"/>
      <c r="H58" s="83"/>
      <c r="I58" s="233"/>
      <c r="J58" s="13"/>
      <c r="L58" s="96"/>
    </row>
    <row r="59" spans="2:16" s="61" customFormat="1">
      <c r="E59" s="82" t="s">
        <v>45</v>
      </c>
      <c r="F59" s="117">
        <v>993098.58</v>
      </c>
      <c r="G59" s="8"/>
      <c r="H59" s="96"/>
      <c r="I59" s="219"/>
      <c r="J59" s="13"/>
      <c r="L59" s="96"/>
    </row>
    <row r="60" spans="2:16" s="61" customFormat="1">
      <c r="E60" s="82" t="s">
        <v>205</v>
      </c>
      <c r="F60" s="117">
        <v>492077.14</v>
      </c>
      <c r="G60" s="8"/>
      <c r="J60" s="13"/>
    </row>
    <row r="61" spans="2:16" s="61" customFormat="1">
      <c r="B61"/>
      <c r="C61"/>
      <c r="D61"/>
      <c r="E61" s="82" t="s">
        <v>206</v>
      </c>
      <c r="F61" s="117">
        <v>0</v>
      </c>
      <c r="G61" s="8"/>
      <c r="J61" s="13"/>
      <c r="L61" s="83"/>
    </row>
    <row r="62" spans="2:16">
      <c r="E62" s="118" t="s">
        <v>46</v>
      </c>
      <c r="F62" s="120">
        <f>SUM(F56:F61)</f>
        <v>1659042.52</v>
      </c>
      <c r="G62" s="8"/>
      <c r="L62" s="61"/>
    </row>
    <row r="63" spans="2:16">
      <c r="E63" s="82"/>
      <c r="F63" s="80"/>
      <c r="G63" s="8"/>
      <c r="L63" s="61"/>
    </row>
    <row r="64" spans="2:16">
      <c r="E64" s="118" t="s">
        <v>47</v>
      </c>
      <c r="F64" s="120">
        <f>F54-F62</f>
        <v>-2027952.32</v>
      </c>
      <c r="G64" s="8"/>
    </row>
    <row r="65" spans="1:7">
      <c r="D65" s="247" t="s">
        <v>192</v>
      </c>
      <c r="E65" s="8"/>
      <c r="F65" s="220"/>
      <c r="G65" s="8"/>
    </row>
    <row r="66" spans="1:7">
      <c r="D66" s="247" t="s">
        <v>194</v>
      </c>
      <c r="E66" s="61"/>
      <c r="F66" s="219"/>
      <c r="G66" s="8"/>
    </row>
    <row r="67" spans="1:7">
      <c r="D67" s="8" t="s">
        <v>9</v>
      </c>
      <c r="E67" s="61"/>
      <c r="F67" s="219"/>
      <c r="G67" s="124">
        <f>SUM(E75:F75)</f>
        <v>0</v>
      </c>
    </row>
    <row r="68" spans="1:7">
      <c r="D68" s="8" t="s">
        <v>195</v>
      </c>
      <c r="E68" s="61"/>
      <c r="F68" s="219"/>
      <c r="G68" s="8"/>
    </row>
    <row r="69" spans="1:7">
      <c r="D69" s="8" t="s">
        <v>188</v>
      </c>
      <c r="E69" s="243"/>
      <c r="F69" s="243"/>
      <c r="G69" s="8"/>
    </row>
    <row r="70" spans="1:7">
      <c r="D70" s="8"/>
      <c r="E70" s="243"/>
      <c r="F70" s="244"/>
    </row>
    <row r="71" spans="1:7">
      <c r="E71" s="245"/>
      <c r="F71" s="246"/>
    </row>
    <row r="72" spans="1:7">
      <c r="E72" s="245"/>
      <c r="F72" s="246"/>
    </row>
    <row r="73" spans="1:7">
      <c r="E73" s="249"/>
      <c r="F73" s="287"/>
    </row>
    <row r="74" spans="1:7">
      <c r="E74" s="124"/>
      <c r="F74" s="287"/>
    </row>
    <row r="75" spans="1:7">
      <c r="E75" s="8"/>
    </row>
    <row r="76" spans="1:7">
      <c r="E76" s="8"/>
    </row>
    <row r="77" spans="1:7">
      <c r="A77" s="268"/>
      <c r="E77" s="8"/>
    </row>
    <row r="78" spans="1:7">
      <c r="E78" s="8"/>
    </row>
    <row r="79" spans="1:7">
      <c r="B79" s="235"/>
      <c r="E79" s="8"/>
    </row>
    <row r="80" spans="1:7">
      <c r="E80" s="8"/>
    </row>
    <row r="81" spans="1:5">
      <c r="E81" s="293"/>
    </row>
    <row r="82" spans="1:5">
      <c r="C82" s="155"/>
      <c r="E82" s="8"/>
    </row>
    <row r="83" spans="1:5">
      <c r="A83" s="269"/>
      <c r="E83" s="293"/>
    </row>
    <row r="84" spans="1:5">
      <c r="C84" s="155"/>
      <c r="E84" s="8"/>
    </row>
    <row r="85" spans="1:5">
      <c r="A85" s="269"/>
      <c r="E85" s="293"/>
    </row>
    <row r="86" spans="1:5">
      <c r="C86" s="155"/>
      <c r="E86" s="8"/>
    </row>
    <row r="87" spans="1:5">
      <c r="A87" s="269"/>
      <c r="E87" s="293"/>
    </row>
    <row r="88" spans="1:5">
      <c r="C88" s="155"/>
      <c r="E88" s="8"/>
    </row>
    <row r="89" spans="1:5">
      <c r="A89" s="269"/>
      <c r="E89" s="293"/>
    </row>
    <row r="90" spans="1:5">
      <c r="C90" s="155"/>
      <c r="E90" s="8"/>
    </row>
    <row r="91" spans="1:5">
      <c r="A91" s="269"/>
      <c r="E91" s="293"/>
    </row>
    <row r="92" spans="1:5">
      <c r="C92" s="155"/>
      <c r="E92" s="8"/>
    </row>
    <row r="93" spans="1:5">
      <c r="A93" s="269"/>
      <c r="E93" s="293"/>
    </row>
    <row r="94" spans="1:5">
      <c r="C94" s="155"/>
      <c r="E94" s="8"/>
    </row>
    <row r="95" spans="1:5">
      <c r="A95" s="269"/>
      <c r="E95" s="293"/>
    </row>
    <row r="96" spans="1:5">
      <c r="C96" s="155"/>
      <c r="E96" s="8"/>
    </row>
    <row r="97" spans="1:5">
      <c r="A97" s="269"/>
      <c r="E97" s="293"/>
    </row>
    <row r="98" spans="1:5">
      <c r="C98" s="155"/>
      <c r="E98" s="8"/>
    </row>
    <row r="99" spans="1:5">
      <c r="A99" s="269"/>
      <c r="E99" s="293"/>
    </row>
    <row r="100" spans="1:5">
      <c r="C100" s="155"/>
      <c r="E100" s="8"/>
    </row>
    <row r="101" spans="1:5">
      <c r="A101" s="269"/>
      <c r="E101" s="293"/>
    </row>
    <row r="102" spans="1:5">
      <c r="C102" s="155"/>
      <c r="E102" s="8"/>
    </row>
    <row r="103" spans="1:5">
      <c r="A103" s="269"/>
      <c r="E103" s="293"/>
    </row>
    <row r="104" spans="1:5">
      <c r="C104" s="155"/>
      <c r="E104" s="8"/>
    </row>
    <row r="105" spans="1:5">
      <c r="A105" s="269"/>
      <c r="E105" s="293"/>
    </row>
    <row r="106" spans="1:5">
      <c r="C106" s="155"/>
      <c r="E106" s="8"/>
    </row>
    <row r="107" spans="1:5">
      <c r="A107" s="269"/>
      <c r="E107" s="293"/>
    </row>
    <row r="108" spans="1:5">
      <c r="C108" s="155"/>
      <c r="E108" s="8"/>
    </row>
    <row r="109" spans="1:5">
      <c r="A109" s="269"/>
      <c r="E109" s="293"/>
    </row>
    <row r="110" spans="1:5">
      <c r="C110" s="155"/>
      <c r="E110" s="8"/>
    </row>
    <row r="111" spans="1:5">
      <c r="A111" s="269"/>
      <c r="E111" s="293"/>
    </row>
    <row r="112" spans="1:5">
      <c r="C112" s="155"/>
      <c r="E112" s="8"/>
    </row>
    <row r="113" spans="1:5">
      <c r="A113" s="269"/>
      <c r="E113" s="277"/>
    </row>
    <row r="114" spans="1:5">
      <c r="C114" s="155"/>
      <c r="E114" s="79"/>
    </row>
    <row r="115" spans="1:5">
      <c r="A115" s="269"/>
      <c r="E115" s="277"/>
    </row>
    <row r="116" spans="1:5">
      <c r="C116" s="155"/>
      <c r="E116" s="79"/>
    </row>
    <row r="117" spans="1:5">
      <c r="A117" s="269"/>
      <c r="E117" s="277"/>
    </row>
    <row r="118" spans="1:5">
      <c r="C118" s="155"/>
      <c r="E118" s="79"/>
    </row>
    <row r="119" spans="1:5">
      <c r="A119" s="269"/>
      <c r="E119" s="277"/>
    </row>
    <row r="120" spans="1:5">
      <c r="C120" s="155"/>
      <c r="E120" s="79"/>
    </row>
    <row r="121" spans="1:5">
      <c r="A121" s="269"/>
      <c r="E121" s="277"/>
    </row>
    <row r="122" spans="1:5">
      <c r="C122" s="155"/>
      <c r="E122" s="79"/>
    </row>
    <row r="123" spans="1:5">
      <c r="A123" s="269"/>
      <c r="E123" s="277"/>
    </row>
    <row r="124" spans="1:5">
      <c r="C124" s="155"/>
      <c r="E124" s="79"/>
    </row>
    <row r="125" spans="1:5">
      <c r="A125" s="269"/>
      <c r="E125" s="277"/>
    </row>
    <row r="126" spans="1:5">
      <c r="C126" s="155"/>
    </row>
    <row r="127" spans="1:5">
      <c r="A127" s="269"/>
      <c r="E127" s="155"/>
    </row>
    <row r="128" spans="1:5">
      <c r="C128" s="155"/>
    </row>
    <row r="129" spans="1:5">
      <c r="A129" s="269"/>
      <c r="E129" s="155"/>
    </row>
    <row r="130" spans="1:5">
      <c r="C130" s="155"/>
    </row>
    <row r="131" spans="1:5">
      <c r="A131" s="269"/>
      <c r="E131" s="155"/>
    </row>
    <row r="132" spans="1:5">
      <c r="C132" s="155"/>
    </row>
    <row r="133" spans="1:5">
      <c r="A133" s="269"/>
      <c r="E133" s="155"/>
    </row>
    <row r="134" spans="1:5">
      <c r="C134" s="155"/>
    </row>
    <row r="135" spans="1:5">
      <c r="A135" s="269"/>
      <c r="E135" s="155"/>
    </row>
    <row r="136" spans="1:5">
      <c r="C136" s="155"/>
    </row>
    <row r="137" spans="1:5">
      <c r="A137" s="269"/>
      <c r="E137" s="155"/>
    </row>
    <row r="138" spans="1:5">
      <c r="C138" s="155"/>
    </row>
    <row r="139" spans="1:5">
      <c r="A139" s="269"/>
      <c r="E139" s="155"/>
    </row>
    <row r="140" spans="1:5">
      <c r="C140" s="155"/>
    </row>
    <row r="141" spans="1:5">
      <c r="A141" s="269"/>
      <c r="E141" s="155"/>
    </row>
    <row r="142" spans="1:5">
      <c r="C142" s="155"/>
    </row>
    <row r="143" spans="1:5">
      <c r="A143" s="269"/>
      <c r="E143" s="155"/>
    </row>
    <row r="144" spans="1:5">
      <c r="C144" s="155"/>
    </row>
    <row r="145" spans="1:5">
      <c r="A145" s="269"/>
      <c r="E145" s="155"/>
    </row>
    <row r="146" spans="1:5">
      <c r="C146" s="155"/>
    </row>
    <row r="147" spans="1:5">
      <c r="A147" s="269"/>
      <c r="E147" s="155"/>
    </row>
    <row r="148" spans="1:5">
      <c r="C148" s="155"/>
    </row>
    <row r="149" spans="1:5">
      <c r="A149" s="269"/>
      <c r="E149" s="155"/>
    </row>
    <row r="150" spans="1:5">
      <c r="C150" s="155"/>
    </row>
    <row r="151" spans="1:5">
      <c r="A151" s="269"/>
      <c r="E151" s="155"/>
    </row>
    <row r="152" spans="1:5">
      <c r="C152" s="155"/>
    </row>
    <row r="153" spans="1:5">
      <c r="A153" s="269"/>
      <c r="E153" s="155"/>
    </row>
    <row r="154" spans="1:5">
      <c r="C154" s="155"/>
    </row>
    <row r="155" spans="1:5">
      <c r="A155" s="269"/>
      <c r="E155" s="155"/>
    </row>
    <row r="156" spans="1:5">
      <c r="C156" s="155"/>
    </row>
    <row r="157" spans="1:5">
      <c r="A157" s="269"/>
      <c r="E157" s="155"/>
    </row>
    <row r="158" spans="1:5">
      <c r="C158" s="155"/>
    </row>
    <row r="159" spans="1:5">
      <c r="A159" s="269"/>
      <c r="E159" s="155"/>
    </row>
    <row r="160" spans="1:5">
      <c r="C160" s="155"/>
    </row>
    <row r="161" spans="1:5">
      <c r="A161" s="269"/>
      <c r="E161" s="155"/>
    </row>
    <row r="162" spans="1:5">
      <c r="C162" s="155"/>
    </row>
    <row r="163" spans="1:5">
      <c r="A163" s="269"/>
      <c r="E163" s="155"/>
    </row>
    <row r="164" spans="1:5">
      <c r="C164" s="155"/>
    </row>
    <row r="165" spans="1:5">
      <c r="A165" s="269"/>
      <c r="E165" s="155"/>
    </row>
    <row r="166" spans="1:5">
      <c r="C166" s="155"/>
    </row>
    <row r="167" spans="1:5">
      <c r="A167" s="269"/>
      <c r="E167" s="155"/>
    </row>
    <row r="168" spans="1:5">
      <c r="C168" s="155"/>
    </row>
    <row r="169" spans="1:5">
      <c r="A169" s="269"/>
      <c r="E169" s="155"/>
    </row>
    <row r="170" spans="1:5">
      <c r="C170" s="155"/>
    </row>
    <row r="171" spans="1:5">
      <c r="A171" s="269"/>
      <c r="E171" s="155"/>
    </row>
    <row r="172" spans="1:5">
      <c r="C172" s="155"/>
    </row>
    <row r="173" spans="1:5">
      <c r="A173" s="269"/>
      <c r="E173" s="155"/>
    </row>
    <row r="174" spans="1:5">
      <c r="C174" s="155"/>
    </row>
    <row r="175" spans="1:5">
      <c r="A175" s="269"/>
      <c r="E175" s="155"/>
    </row>
    <row r="176" spans="1:5">
      <c r="C176" s="155"/>
    </row>
    <row r="177" spans="1:5">
      <c r="A177" s="269"/>
      <c r="E177" s="155"/>
    </row>
    <row r="178" spans="1:5">
      <c r="C178" s="155"/>
    </row>
    <row r="179" spans="1:5">
      <c r="A179" s="269"/>
      <c r="E179" s="155"/>
    </row>
    <row r="180" spans="1:5">
      <c r="C180" s="155"/>
    </row>
    <row r="181" spans="1:5">
      <c r="A181" s="269"/>
      <c r="E181" s="155"/>
    </row>
    <row r="182" spans="1:5">
      <c r="C182" s="155"/>
    </row>
    <row r="183" spans="1:5">
      <c r="A183" s="269"/>
      <c r="E183" s="155"/>
    </row>
    <row r="184" spans="1:5">
      <c r="C184" s="155"/>
    </row>
    <row r="185" spans="1:5">
      <c r="A185" s="269"/>
      <c r="E185" s="155"/>
    </row>
    <row r="186" spans="1:5">
      <c r="C186" s="155"/>
    </row>
    <row r="187" spans="1:5">
      <c r="A187" s="269"/>
      <c r="E187" s="155"/>
    </row>
    <row r="188" spans="1:5">
      <c r="C188" s="155"/>
    </row>
    <row r="189" spans="1:5">
      <c r="A189" s="269"/>
      <c r="E189" s="155"/>
    </row>
    <row r="190" spans="1:5">
      <c r="C190" s="155"/>
    </row>
    <row r="191" spans="1:5">
      <c r="A191" s="269"/>
      <c r="E191" s="155"/>
    </row>
    <row r="192" spans="1:5">
      <c r="C192" s="155"/>
    </row>
    <row r="193" spans="1:5">
      <c r="A193" s="269"/>
      <c r="E193" s="155"/>
    </row>
    <row r="194" spans="1:5">
      <c r="C194" s="155"/>
    </row>
    <row r="195" spans="1:5">
      <c r="A195" s="269"/>
      <c r="E195" s="155"/>
    </row>
    <row r="196" spans="1:5">
      <c r="C196" s="155"/>
    </row>
    <row r="197" spans="1:5">
      <c r="A197" s="269"/>
      <c r="E197" s="155"/>
    </row>
    <row r="198" spans="1:5">
      <c r="C198" s="155"/>
    </row>
    <row r="199" spans="1:5">
      <c r="A199" s="269"/>
      <c r="E199" s="155"/>
    </row>
    <row r="200" spans="1:5">
      <c r="C200" s="155"/>
    </row>
    <row r="201" spans="1:5">
      <c r="A201" s="269"/>
      <c r="E201" s="155"/>
    </row>
    <row r="202" spans="1:5">
      <c r="D202" s="155"/>
    </row>
    <row r="203" spans="1:5">
      <c r="A203" s="269"/>
      <c r="E203" s="155"/>
    </row>
    <row r="204" spans="1:5">
      <c r="C204" s="155"/>
    </row>
    <row r="205" spans="1:5">
      <c r="A205" s="269"/>
      <c r="E205" s="155"/>
    </row>
    <row r="206" spans="1:5">
      <c r="C206" s="155"/>
    </row>
    <row r="207" spans="1:5">
      <c r="A207" s="269"/>
      <c r="E207" s="155"/>
    </row>
    <row r="208" spans="1:5">
      <c r="C208" s="155"/>
    </row>
    <row r="209" spans="1:5">
      <c r="A209" s="269"/>
      <c r="E209" s="155"/>
    </row>
    <row r="210" spans="1:5">
      <c r="C210" s="155"/>
    </row>
    <row r="211" spans="1:5">
      <c r="A211" s="269"/>
      <c r="E211" s="155"/>
    </row>
    <row r="212" spans="1:5">
      <c r="C212" s="155"/>
    </row>
    <row r="213" spans="1:5">
      <c r="A213" s="269"/>
    </row>
  </sheetData>
  <mergeCells count="16"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D2D69-0922-4AC4-87F9-A6656F078F2D}">
  <dimension ref="A6:P213"/>
  <sheetViews>
    <sheetView showGridLines="0" workbookViewId="0">
      <selection sqref="A1:XFD1048576"/>
    </sheetView>
  </sheetViews>
  <sheetFormatPr baseColWidth="10" defaultRowHeight="14.5"/>
  <cols>
    <col min="2" max="2" width="16.54296875" customWidth="1"/>
    <col min="4" max="4" width="22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</row>
    <row r="12" spans="1:12" ht="19" thickBot="1">
      <c r="A12" s="1"/>
      <c r="B12" s="331" t="s">
        <v>2</v>
      </c>
      <c r="C12" s="332"/>
      <c r="D12" s="332"/>
      <c r="E12" s="333"/>
      <c r="F12" s="295"/>
      <c r="G12" s="296"/>
      <c r="H12" s="1"/>
      <c r="I12" s="1"/>
      <c r="J12" s="76"/>
      <c r="K12" s="1"/>
    </row>
    <row r="13" spans="1:12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</row>
    <row r="14" spans="1:12" ht="18" thickBot="1">
      <c r="A14" s="11"/>
      <c r="B14" s="334" t="s">
        <v>3</v>
      </c>
      <c r="C14" s="335"/>
      <c r="D14" s="336"/>
      <c r="E14" s="17">
        <f>SUM(E15:E17)</f>
        <v>292160.13</v>
      </c>
      <c r="F14" s="264"/>
      <c r="G14" s="331" t="s">
        <v>4</v>
      </c>
      <c r="H14" s="332"/>
      <c r="I14" s="332"/>
      <c r="J14" s="332"/>
      <c r="K14" s="333"/>
      <c r="L14" s="13"/>
    </row>
    <row r="15" spans="1:12">
      <c r="A15" s="1"/>
      <c r="B15" s="337" t="s">
        <v>5</v>
      </c>
      <c r="C15" s="338"/>
      <c r="D15" s="339"/>
      <c r="E15" s="20">
        <f>J16+J17+J18+J19</f>
        <v>195168.03</v>
      </c>
      <c r="F15" s="153"/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43853.61</v>
      </c>
      <c r="F16" s="153"/>
      <c r="G16" s="22">
        <v>18475.22</v>
      </c>
      <c r="H16" s="23" t="s">
        <v>8</v>
      </c>
      <c r="I16" s="24"/>
      <c r="J16" s="25">
        <v>31078.639999999999</v>
      </c>
      <c r="K16" s="26" t="s">
        <v>9</v>
      </c>
      <c r="L16" s="19"/>
    </row>
    <row r="17" spans="1:16">
      <c r="A17" s="1"/>
      <c r="B17" s="352" t="s">
        <v>6</v>
      </c>
      <c r="C17" s="353"/>
      <c r="D17" s="354"/>
      <c r="E17" s="28">
        <f>G16+G17+G18</f>
        <v>53138.49</v>
      </c>
      <c r="F17" s="153">
        <f>E15+E16+E17</f>
        <v>292160.13</v>
      </c>
      <c r="G17" s="22">
        <v>19724.009999999998</v>
      </c>
      <c r="H17" s="29" t="s">
        <v>10</v>
      </c>
      <c r="I17" s="30"/>
      <c r="J17" s="25">
        <v>41454.730000000003</v>
      </c>
      <c r="K17" s="31" t="s">
        <v>10</v>
      </c>
      <c r="L17" s="13"/>
    </row>
    <row r="18" spans="1:16">
      <c r="A18" s="1"/>
      <c r="B18" s="236" t="s">
        <v>187</v>
      </c>
      <c r="C18" s="237"/>
      <c r="D18" s="238"/>
      <c r="E18" s="28">
        <f>+J22</f>
        <v>20822.95</v>
      </c>
      <c r="F18" s="153">
        <v>90000</v>
      </c>
      <c r="G18" s="22">
        <v>14939.26</v>
      </c>
      <c r="H18" s="29" t="s">
        <v>12</v>
      </c>
      <c r="I18" s="30"/>
      <c r="J18" s="25">
        <v>109095.39</v>
      </c>
      <c r="K18" s="31" t="s">
        <v>12</v>
      </c>
      <c r="L18" s="13"/>
    </row>
    <row r="19" spans="1:16">
      <c r="B19" s="379" t="s">
        <v>11</v>
      </c>
      <c r="C19" s="380"/>
      <c r="D19" s="381"/>
      <c r="E19" s="20">
        <f>G29+G31+G30+G28</f>
        <v>15135.900000000001</v>
      </c>
      <c r="F19" s="153">
        <f>+F17-F18</f>
        <v>202160.13</v>
      </c>
      <c r="G19" s="33"/>
      <c r="H19" s="34"/>
      <c r="I19" s="30"/>
      <c r="J19" s="25">
        <v>13539.27</v>
      </c>
      <c r="K19" s="31" t="s">
        <v>14</v>
      </c>
    </row>
    <row r="20" spans="1:16">
      <c r="B20" s="344" t="s">
        <v>13</v>
      </c>
      <c r="C20" s="345"/>
      <c r="D20" s="346"/>
      <c r="E20" s="20">
        <v>18027270.309999999</v>
      </c>
      <c r="F20" s="153"/>
      <c r="G20" s="239"/>
      <c r="H20" s="240"/>
      <c r="I20" s="30"/>
      <c r="J20" s="25"/>
      <c r="K20" s="31"/>
      <c r="L20" s="152"/>
    </row>
    <row r="21" spans="1:16">
      <c r="B21" s="187" t="s">
        <v>15</v>
      </c>
      <c r="C21" s="188"/>
      <c r="D21" s="189"/>
      <c r="E21" s="190">
        <f>SUM(E22:E25)</f>
        <v>0</v>
      </c>
      <c r="F21" s="153"/>
      <c r="G21" s="361" t="s">
        <v>16</v>
      </c>
      <c r="H21" s="362"/>
      <c r="I21" s="36"/>
      <c r="J21" s="241" t="s">
        <v>187</v>
      </c>
      <c r="K21" s="242"/>
      <c r="L21" s="294"/>
    </row>
    <row r="22" spans="1:16" ht="15" customHeight="1">
      <c r="B22" s="303"/>
      <c r="C22" s="304"/>
      <c r="D22" s="308"/>
      <c r="E22" s="190">
        <v>0</v>
      </c>
      <c r="F22" s="153"/>
      <c r="G22" s="44">
        <v>17362.439999999999</v>
      </c>
      <c r="H22" s="29" t="s">
        <v>10</v>
      </c>
      <c r="I22" s="30"/>
      <c r="J22" s="25">
        <v>20822.95</v>
      </c>
      <c r="K22" s="31" t="s">
        <v>188</v>
      </c>
      <c r="L22" s="294"/>
    </row>
    <row r="23" spans="1:16" ht="15" customHeight="1">
      <c r="B23" s="301"/>
      <c r="C23" s="302"/>
      <c r="D23" s="308"/>
      <c r="E23" s="190">
        <v>0</v>
      </c>
      <c r="F23" s="153"/>
      <c r="G23" s="44">
        <v>26491.17</v>
      </c>
      <c r="H23" s="29" t="s">
        <v>18</v>
      </c>
      <c r="I23" s="30"/>
      <c r="J23" s="25"/>
      <c r="K23" s="31"/>
      <c r="L23" s="294"/>
    </row>
    <row r="24" spans="1:16" ht="15" thickBot="1">
      <c r="B24" s="187"/>
      <c r="C24" s="188"/>
      <c r="D24" s="198"/>
      <c r="E24" s="190">
        <v>0</v>
      </c>
      <c r="F24" s="153"/>
      <c r="G24" s="51"/>
      <c r="H24" s="34"/>
      <c r="I24" s="30"/>
      <c r="J24" s="210"/>
      <c r="K24" s="53"/>
      <c r="L24" s="294"/>
      <c r="M24" s="235"/>
    </row>
    <row r="25" spans="1:16" ht="15" thickBot="1">
      <c r="B25" s="187"/>
      <c r="C25" s="188"/>
      <c r="D25" s="198"/>
      <c r="E25" s="190">
        <v>0</v>
      </c>
      <c r="F25" s="153"/>
      <c r="G25" s="331" t="s">
        <v>21</v>
      </c>
      <c r="H25" s="332"/>
      <c r="I25" s="332"/>
      <c r="J25" s="332"/>
      <c r="K25" s="333"/>
    </row>
    <row r="26" spans="1:16">
      <c r="B26" s="202" t="s">
        <v>17</v>
      </c>
      <c r="C26" s="203"/>
      <c r="D26" s="204"/>
      <c r="E26" s="234">
        <v>60872.65</v>
      </c>
      <c r="F26" s="220"/>
      <c r="G26" s="54"/>
      <c r="H26" s="55"/>
      <c r="I26" s="56"/>
      <c r="J26" s="211"/>
      <c r="K26" s="58"/>
    </row>
    <row r="27" spans="1:16">
      <c r="B27" s="202" t="s">
        <v>163</v>
      </c>
      <c r="C27" s="203"/>
      <c r="D27" s="204"/>
      <c r="E27" s="234">
        <v>230000</v>
      </c>
      <c r="F27" s="153">
        <f>+F19-E26</f>
        <v>141287.48000000001</v>
      </c>
      <c r="G27" s="377" t="s">
        <v>5</v>
      </c>
      <c r="H27" s="378"/>
      <c r="I27" s="59"/>
      <c r="J27" s="60"/>
      <c r="K27" s="45"/>
      <c r="O27" s="155"/>
      <c r="P27" s="155"/>
    </row>
    <row r="28" spans="1:16">
      <c r="B28" s="199" t="s">
        <v>22</v>
      </c>
      <c r="C28" s="200"/>
      <c r="D28" s="201"/>
      <c r="E28" s="234">
        <v>4030.2</v>
      </c>
      <c r="F28" s="288">
        <f>SUM(E26:E32)</f>
        <v>333327.21000000002</v>
      </c>
      <c r="G28" s="22">
        <v>4198.87</v>
      </c>
      <c r="H28" s="62" t="s">
        <v>9</v>
      </c>
      <c r="I28" s="59"/>
      <c r="J28" s="60"/>
      <c r="K28" s="45"/>
      <c r="N28" s="155"/>
      <c r="P28" s="155"/>
    </row>
    <row r="29" spans="1:16">
      <c r="B29" s="199" t="s">
        <v>64</v>
      </c>
      <c r="C29" s="200"/>
      <c r="D29" s="201"/>
      <c r="E29" s="234">
        <v>0</v>
      </c>
      <c r="F29" s="153">
        <f>+F27-F28</f>
        <v>-192039.73</v>
      </c>
      <c r="G29" s="22">
        <v>1711.29</v>
      </c>
      <c r="H29" s="62" t="s">
        <v>26</v>
      </c>
      <c r="I29" s="63"/>
      <c r="J29" s="64" t="s">
        <v>27</v>
      </c>
      <c r="K29" s="65" t="s">
        <v>28</v>
      </c>
    </row>
    <row r="30" spans="1:16">
      <c r="B30" s="199" t="s">
        <v>52</v>
      </c>
      <c r="C30" s="200"/>
      <c r="D30" s="201"/>
      <c r="E30" s="49">
        <v>38424.36</v>
      </c>
      <c r="F30" s="221"/>
      <c r="G30" s="67">
        <v>1916.02</v>
      </c>
      <c r="H30" s="68" t="s">
        <v>14</v>
      </c>
      <c r="I30" s="63"/>
      <c r="J30" s="64" t="s">
        <v>30</v>
      </c>
      <c r="K30" s="65" t="s">
        <v>31</v>
      </c>
      <c r="N30" s="155"/>
      <c r="P30" s="155"/>
    </row>
    <row r="31" spans="1:16" ht="15" thickBot="1">
      <c r="B31" s="344" t="s">
        <v>69</v>
      </c>
      <c r="C31" s="345"/>
      <c r="D31" s="346"/>
      <c r="E31" s="234">
        <v>0</v>
      </c>
      <c r="F31" s="220"/>
      <c r="G31" s="71">
        <v>7309.72</v>
      </c>
      <c r="H31" s="72" t="s">
        <v>12</v>
      </c>
      <c r="I31" s="73"/>
      <c r="J31" s="74" t="s">
        <v>32</v>
      </c>
      <c r="K31" s="75" t="s">
        <v>33</v>
      </c>
    </row>
    <row r="32" spans="1:16" ht="15" thickBot="1">
      <c r="B32" s="363" t="s">
        <v>29</v>
      </c>
      <c r="C32" s="364"/>
      <c r="D32" s="365"/>
      <c r="E32" s="66">
        <f>+F48</f>
        <v>0</v>
      </c>
      <c r="F32" s="220"/>
      <c r="N32" s="155"/>
      <c r="P32" s="155"/>
    </row>
    <row r="33" spans="2:16">
      <c r="E33" s="61"/>
      <c r="F33" s="220"/>
    </row>
    <row r="34" spans="2:16">
      <c r="E34" s="61"/>
      <c r="F34" s="220"/>
      <c r="H34" s="61"/>
      <c r="I34" s="61"/>
      <c r="J34" s="39"/>
      <c r="K34" s="61"/>
      <c r="N34" s="155"/>
      <c r="P34" s="155"/>
    </row>
    <row r="35" spans="2:16">
      <c r="E35" s="61"/>
      <c r="F35" s="220"/>
      <c r="G35" s="8"/>
      <c r="H35" s="61"/>
      <c r="I35" s="61"/>
      <c r="J35" s="39"/>
      <c r="K35" s="61"/>
    </row>
    <row r="36" spans="2:16">
      <c r="E36" s="61"/>
      <c r="F36" s="219"/>
      <c r="G36" s="8"/>
      <c r="H36" s="13"/>
      <c r="I36" s="61"/>
      <c r="J36" s="13"/>
      <c r="K36" s="83"/>
      <c r="L36" s="61"/>
      <c r="N36" s="155"/>
      <c r="P36" s="155"/>
    </row>
    <row r="37" spans="2:16">
      <c r="B37" s="61"/>
      <c r="C37" s="61"/>
      <c r="D37" s="61"/>
      <c r="E37" s="110" t="s">
        <v>401</v>
      </c>
      <c r="F37" s="299"/>
      <c r="G37" s="181"/>
      <c r="H37" s="161"/>
      <c r="I37" s="197"/>
      <c r="J37" s="13"/>
      <c r="K37" s="83"/>
      <c r="L37" s="61"/>
    </row>
    <row r="38" spans="2:16" s="61" customFormat="1" ht="15" customHeight="1">
      <c r="E38" s="110"/>
      <c r="F38" s="299"/>
      <c r="G38" s="86"/>
      <c r="I38" s="197"/>
      <c r="J38" s="13"/>
      <c r="K38" s="83"/>
      <c r="L38" s="88"/>
      <c r="N38" s="273"/>
      <c r="P38" s="273"/>
    </row>
    <row r="39" spans="2:16" s="61" customFormat="1" ht="15" customHeight="1">
      <c r="E39" s="82" t="s">
        <v>34</v>
      </c>
      <c r="F39" s="299">
        <f>F19</f>
        <v>202160.13</v>
      </c>
      <c r="G39" s="86"/>
      <c r="H39" s="161"/>
      <c r="I39" s="197"/>
      <c r="J39" s="13"/>
      <c r="K39" s="85"/>
      <c r="L39" s="161"/>
    </row>
    <row r="40" spans="2:16" s="61" customFormat="1" ht="15" customHeight="1">
      <c r="E40" s="82" t="s">
        <v>35</v>
      </c>
      <c r="F40" s="299">
        <f>+E19</f>
        <v>15135.900000000001</v>
      </c>
      <c r="G40" s="86"/>
      <c r="I40" s="214"/>
      <c r="J40" s="13"/>
      <c r="K40" s="87"/>
      <c r="L40" s="161"/>
      <c r="N40" s="273"/>
      <c r="P40" s="273"/>
    </row>
    <row r="41" spans="2:16" s="61" customFormat="1" ht="15" customHeight="1">
      <c r="E41" s="82" t="s">
        <v>36</v>
      </c>
      <c r="F41" s="299">
        <v>0</v>
      </c>
      <c r="G41" s="9"/>
      <c r="I41" s="197"/>
      <c r="J41" s="13"/>
    </row>
    <row r="42" spans="2:16" s="61" customFormat="1" ht="15" customHeight="1">
      <c r="E42" s="82" t="s">
        <v>37</v>
      </c>
      <c r="F42" s="299">
        <v>0</v>
      </c>
      <c r="G42" s="9"/>
      <c r="I42" s="197"/>
      <c r="J42" s="13"/>
      <c r="N42" s="273"/>
      <c r="P42" s="273"/>
    </row>
    <row r="43" spans="2:16" s="61" customFormat="1" ht="15" customHeight="1">
      <c r="E43" s="112" t="s">
        <v>38</v>
      </c>
      <c r="F43" s="225">
        <f>SUM(F39:F42)</f>
        <v>217296.03</v>
      </c>
      <c r="G43" s="9"/>
      <c r="H43" s="163"/>
      <c r="I43" s="229"/>
      <c r="J43" s="13"/>
    </row>
    <row r="44" spans="2:16" s="61" customFormat="1" ht="15" customHeight="1">
      <c r="E44" s="113"/>
      <c r="F44" s="226"/>
      <c r="G44" s="9"/>
      <c r="H44" s="165"/>
      <c r="I44" s="230"/>
      <c r="J44" s="13"/>
      <c r="N44" s="273"/>
      <c r="P44" s="273"/>
    </row>
    <row r="45" spans="2:16" s="61" customFormat="1" ht="15" customHeight="1">
      <c r="E45" s="113" t="s">
        <v>152</v>
      </c>
      <c r="F45" s="226">
        <v>270000</v>
      </c>
      <c r="G45" s="9"/>
      <c r="H45" s="165"/>
      <c r="I45" s="230"/>
      <c r="J45" s="13"/>
      <c r="N45" s="273"/>
      <c r="P45" s="273"/>
    </row>
    <row r="46" spans="2:16" s="61" customFormat="1" ht="15" customHeight="1">
      <c r="E46" s="113" t="s">
        <v>116</v>
      </c>
      <c r="F46" s="226">
        <v>0</v>
      </c>
      <c r="G46" s="9"/>
      <c r="H46" s="165"/>
      <c r="I46" s="230"/>
      <c r="J46" s="13"/>
      <c r="N46" s="273"/>
      <c r="P46" s="273"/>
    </row>
    <row r="47" spans="2:16" s="61" customFormat="1" ht="15" customHeight="1">
      <c r="E47" s="113" t="s">
        <v>52</v>
      </c>
      <c r="F47" s="226">
        <v>38424.36</v>
      </c>
      <c r="G47" s="9"/>
      <c r="H47" s="165"/>
      <c r="I47" s="230"/>
      <c r="J47" s="13"/>
      <c r="N47" s="273"/>
      <c r="P47" s="273"/>
    </row>
    <row r="48" spans="2:16" s="61" customFormat="1" ht="15" customHeight="1">
      <c r="E48" s="113" t="s">
        <v>53</v>
      </c>
      <c r="F48" s="226">
        <v>0</v>
      </c>
      <c r="G48" s="9"/>
      <c r="H48" s="165"/>
      <c r="I48" s="230"/>
      <c r="J48" s="13"/>
      <c r="N48" s="273"/>
      <c r="P48" s="273"/>
    </row>
    <row r="49" spans="2:16" s="61" customFormat="1" ht="15" customHeight="1">
      <c r="E49" s="113" t="s">
        <v>398</v>
      </c>
      <c r="F49" s="226">
        <v>0</v>
      </c>
      <c r="G49" s="9"/>
      <c r="H49" s="165"/>
      <c r="I49" s="230"/>
      <c r="J49" s="13"/>
      <c r="N49" s="273"/>
      <c r="P49" s="273"/>
    </row>
    <row r="50" spans="2:16" s="61" customFormat="1" ht="15" customHeight="1">
      <c r="E50" s="116" t="s">
        <v>24</v>
      </c>
      <c r="F50" s="221">
        <v>0</v>
      </c>
      <c r="G50" s="8"/>
      <c r="H50" s="91"/>
      <c r="I50" s="231"/>
      <c r="J50" s="13"/>
    </row>
    <row r="51" spans="2:16" s="61" customFormat="1" ht="15" customHeight="1">
      <c r="E51" s="116" t="s">
        <v>22</v>
      </c>
      <c r="F51" s="221">
        <v>5000</v>
      </c>
      <c r="G51" s="8"/>
      <c r="H51" s="96"/>
      <c r="I51" s="231"/>
      <c r="J51" s="262"/>
    </row>
    <row r="52" spans="2:16" s="61" customFormat="1">
      <c r="E52" s="116" t="s">
        <v>40</v>
      </c>
      <c r="F52" s="226">
        <v>65000</v>
      </c>
      <c r="G52" s="82"/>
      <c r="H52" s="83"/>
      <c r="I52" s="228"/>
      <c r="J52" s="13"/>
    </row>
    <row r="53" spans="2:16" s="61" customFormat="1">
      <c r="E53" s="118" t="s">
        <v>41</v>
      </c>
      <c r="F53" s="225">
        <f>SUM(F45:F52)</f>
        <v>378424.36</v>
      </c>
      <c r="G53" s="82"/>
      <c r="H53" s="83"/>
      <c r="I53" s="233"/>
      <c r="J53" s="13"/>
    </row>
    <row r="54" spans="2:16" s="61" customFormat="1">
      <c r="E54" s="118" t="s">
        <v>42</v>
      </c>
      <c r="F54" s="225">
        <f>F43-F53</f>
        <v>-161128.32999999999</v>
      </c>
      <c r="G54" s="82"/>
      <c r="H54" s="83"/>
      <c r="I54" s="233"/>
      <c r="J54" s="13"/>
    </row>
    <row r="55" spans="2:16" s="61" customFormat="1">
      <c r="E55" s="82"/>
      <c r="F55" s="80"/>
      <c r="G55" s="82"/>
      <c r="H55" s="83"/>
      <c r="I55" s="233"/>
      <c r="J55" s="13"/>
      <c r="L55" s="91"/>
    </row>
    <row r="56" spans="2:16" s="61" customFormat="1">
      <c r="E56" s="82" t="s">
        <v>43</v>
      </c>
      <c r="F56" s="80">
        <v>0</v>
      </c>
      <c r="G56" s="82"/>
      <c r="H56" s="96"/>
      <c r="I56" s="228"/>
      <c r="J56" s="13"/>
      <c r="L56" s="91"/>
    </row>
    <row r="57" spans="2:16" s="61" customFormat="1">
      <c r="E57" s="82" t="s">
        <v>44</v>
      </c>
      <c r="F57" s="80">
        <v>170000</v>
      </c>
      <c r="G57" s="82"/>
      <c r="H57" s="96"/>
      <c r="I57" s="228"/>
      <c r="J57" s="13"/>
      <c r="L57" s="91"/>
    </row>
    <row r="58" spans="2:16" s="61" customFormat="1">
      <c r="E58" s="82" t="s">
        <v>386</v>
      </c>
      <c r="F58" s="80">
        <v>3866.8</v>
      </c>
      <c r="G58" s="82"/>
      <c r="H58" s="83"/>
      <c r="I58" s="233"/>
      <c r="J58" s="13"/>
      <c r="L58" s="96"/>
    </row>
    <row r="59" spans="2:16" s="61" customFormat="1">
      <c r="E59" s="82" t="s">
        <v>45</v>
      </c>
      <c r="F59" s="117">
        <v>993098.58</v>
      </c>
      <c r="G59" s="8"/>
      <c r="H59" s="96"/>
      <c r="I59" s="219"/>
      <c r="J59" s="13"/>
      <c r="L59" s="96"/>
    </row>
    <row r="60" spans="2:16" s="61" customFormat="1">
      <c r="E60" s="82" t="s">
        <v>205</v>
      </c>
      <c r="F60" s="117">
        <v>492077.14</v>
      </c>
      <c r="G60" s="8"/>
      <c r="J60" s="13"/>
    </row>
    <row r="61" spans="2:16" s="61" customFormat="1">
      <c r="B61"/>
      <c r="C61"/>
      <c r="D61"/>
      <c r="E61" s="82" t="s">
        <v>206</v>
      </c>
      <c r="F61" s="117">
        <v>0</v>
      </c>
      <c r="G61" s="8"/>
      <c r="J61" s="13"/>
      <c r="L61" s="83"/>
    </row>
    <row r="62" spans="2:16">
      <c r="E62" s="118" t="s">
        <v>46</v>
      </c>
      <c r="F62" s="120">
        <f>SUM(F56:F61)</f>
        <v>1659042.52</v>
      </c>
      <c r="G62" s="8"/>
      <c r="L62" s="61"/>
    </row>
    <row r="63" spans="2:16">
      <c r="E63" s="82"/>
      <c r="F63" s="80"/>
      <c r="G63" s="8"/>
      <c r="L63" s="61"/>
    </row>
    <row r="64" spans="2:16">
      <c r="E64" s="118" t="s">
        <v>47</v>
      </c>
      <c r="F64" s="120">
        <f>F54-F62</f>
        <v>-1820170.85</v>
      </c>
      <c r="G64" s="8"/>
    </row>
    <row r="65" spans="1:7">
      <c r="D65" s="247" t="s">
        <v>192</v>
      </c>
      <c r="E65" s="61"/>
      <c r="F65" s="219"/>
      <c r="G65" s="8"/>
    </row>
    <row r="66" spans="1:7">
      <c r="D66" s="247" t="s">
        <v>194</v>
      </c>
      <c r="E66" s="61"/>
      <c r="F66" s="219"/>
      <c r="G66" s="8"/>
    </row>
    <row r="67" spans="1:7">
      <c r="D67" s="8" t="s">
        <v>9</v>
      </c>
      <c r="E67" s="61"/>
      <c r="F67" s="219"/>
      <c r="G67" s="124">
        <f>SUM(E75:F75)</f>
        <v>0</v>
      </c>
    </row>
    <row r="68" spans="1:7">
      <c r="D68" s="8" t="s">
        <v>195</v>
      </c>
      <c r="E68" s="61"/>
      <c r="F68" s="219"/>
      <c r="G68" s="8"/>
    </row>
    <row r="69" spans="1:7">
      <c r="D69" s="8" t="s">
        <v>188</v>
      </c>
      <c r="E69" s="243"/>
      <c r="F69" s="243"/>
      <c r="G69" s="8"/>
    </row>
    <row r="70" spans="1:7">
      <c r="D70" s="8"/>
      <c r="E70" s="243"/>
      <c r="F70" s="244"/>
    </row>
    <row r="71" spans="1:7">
      <c r="E71" s="245"/>
      <c r="F71" s="246"/>
    </row>
    <row r="72" spans="1:7">
      <c r="E72" s="245"/>
      <c r="F72" s="246"/>
    </row>
    <row r="73" spans="1:7">
      <c r="E73" s="249"/>
      <c r="F73" s="287"/>
    </row>
    <row r="74" spans="1:7">
      <c r="E74" s="124"/>
      <c r="F74" s="287"/>
    </row>
    <row r="75" spans="1:7">
      <c r="E75" s="8"/>
    </row>
    <row r="76" spans="1:7">
      <c r="E76" s="8"/>
    </row>
    <row r="77" spans="1:7">
      <c r="A77" s="268"/>
      <c r="E77" s="8"/>
    </row>
    <row r="78" spans="1:7">
      <c r="E78" s="8"/>
    </row>
    <row r="79" spans="1:7">
      <c r="B79" s="235"/>
      <c r="E79" s="8"/>
    </row>
    <row r="80" spans="1:7">
      <c r="E80" s="8"/>
    </row>
    <row r="81" spans="1:5">
      <c r="E81" s="293"/>
    </row>
    <row r="82" spans="1:5">
      <c r="C82" s="155"/>
      <c r="E82" s="8"/>
    </row>
    <row r="83" spans="1:5">
      <c r="A83" s="269"/>
      <c r="E83" s="293"/>
    </row>
    <row r="84" spans="1:5">
      <c r="C84" s="155"/>
      <c r="E84" s="8"/>
    </row>
    <row r="85" spans="1:5">
      <c r="A85" s="269"/>
      <c r="E85" s="293"/>
    </row>
    <row r="86" spans="1:5">
      <c r="C86" s="155"/>
      <c r="E86" s="8"/>
    </row>
    <row r="87" spans="1:5">
      <c r="A87" s="269"/>
      <c r="E87" s="293"/>
    </row>
    <row r="88" spans="1:5">
      <c r="C88" s="155"/>
      <c r="E88" s="8"/>
    </row>
    <row r="89" spans="1:5">
      <c r="A89" s="269"/>
      <c r="E89" s="293"/>
    </row>
    <row r="90" spans="1:5">
      <c r="C90" s="155"/>
      <c r="E90" s="8"/>
    </row>
    <row r="91" spans="1:5">
      <c r="A91" s="269"/>
      <c r="E91" s="293"/>
    </row>
    <row r="92" spans="1:5">
      <c r="C92" s="155"/>
      <c r="E92" s="8"/>
    </row>
    <row r="93" spans="1:5">
      <c r="A93" s="269"/>
      <c r="E93" s="293"/>
    </row>
    <row r="94" spans="1:5">
      <c r="C94" s="155"/>
      <c r="E94" s="8"/>
    </row>
    <row r="95" spans="1:5">
      <c r="A95" s="269"/>
      <c r="E95" s="293"/>
    </row>
    <row r="96" spans="1:5">
      <c r="C96" s="155"/>
      <c r="E96" s="8"/>
    </row>
    <row r="97" spans="1:5">
      <c r="A97" s="269"/>
      <c r="E97" s="293"/>
    </row>
    <row r="98" spans="1:5">
      <c r="C98" s="155"/>
      <c r="E98" s="8"/>
    </row>
    <row r="99" spans="1:5">
      <c r="A99" s="269"/>
      <c r="E99" s="293"/>
    </row>
    <row r="100" spans="1:5">
      <c r="C100" s="155"/>
      <c r="E100" s="8"/>
    </row>
    <row r="101" spans="1:5">
      <c r="A101" s="269"/>
      <c r="E101" s="293"/>
    </row>
    <row r="102" spans="1:5">
      <c r="C102" s="155"/>
      <c r="E102" s="8"/>
    </row>
    <row r="103" spans="1:5">
      <c r="A103" s="269"/>
      <c r="E103" s="293"/>
    </row>
    <row r="104" spans="1:5">
      <c r="C104" s="155"/>
      <c r="E104" s="8"/>
    </row>
    <row r="105" spans="1:5">
      <c r="A105" s="269"/>
      <c r="E105" s="293"/>
    </row>
    <row r="106" spans="1:5">
      <c r="C106" s="155"/>
      <c r="E106" s="8"/>
    </row>
    <row r="107" spans="1:5">
      <c r="A107" s="269"/>
      <c r="E107" s="293"/>
    </row>
    <row r="108" spans="1:5">
      <c r="C108" s="155"/>
      <c r="E108" s="8"/>
    </row>
    <row r="109" spans="1:5">
      <c r="A109" s="269"/>
      <c r="E109" s="293"/>
    </row>
    <row r="110" spans="1:5">
      <c r="C110" s="155"/>
      <c r="E110" s="8"/>
    </row>
    <row r="111" spans="1:5">
      <c r="A111" s="269"/>
      <c r="E111" s="293"/>
    </row>
    <row r="112" spans="1:5">
      <c r="C112" s="155"/>
      <c r="E112" s="8"/>
    </row>
    <row r="113" spans="1:5">
      <c r="A113" s="269"/>
      <c r="E113" s="277"/>
    </row>
    <row r="114" spans="1:5">
      <c r="C114" s="155"/>
      <c r="E114" s="79"/>
    </row>
    <row r="115" spans="1:5">
      <c r="A115" s="269"/>
      <c r="E115" s="277"/>
    </row>
    <row r="116" spans="1:5">
      <c r="C116" s="155"/>
      <c r="E116" s="79"/>
    </row>
    <row r="117" spans="1:5">
      <c r="A117" s="269"/>
      <c r="E117" s="277"/>
    </row>
    <row r="118" spans="1:5">
      <c r="C118" s="155"/>
      <c r="E118" s="79"/>
    </row>
    <row r="119" spans="1:5">
      <c r="A119" s="269"/>
      <c r="E119" s="277"/>
    </row>
    <row r="120" spans="1:5">
      <c r="C120" s="155"/>
      <c r="E120" s="79"/>
    </row>
    <row r="121" spans="1:5">
      <c r="A121" s="269"/>
      <c r="E121" s="277"/>
    </row>
    <row r="122" spans="1:5">
      <c r="C122" s="155"/>
      <c r="E122" s="79"/>
    </row>
    <row r="123" spans="1:5">
      <c r="A123" s="269"/>
      <c r="E123" s="277"/>
    </row>
    <row r="124" spans="1:5">
      <c r="C124" s="155"/>
      <c r="E124" s="79"/>
    </row>
    <row r="125" spans="1:5">
      <c r="A125" s="269"/>
      <c r="E125" s="277"/>
    </row>
    <row r="126" spans="1:5">
      <c r="C126" s="155"/>
    </row>
    <row r="127" spans="1:5">
      <c r="A127" s="269"/>
      <c r="E127" s="155"/>
    </row>
    <row r="128" spans="1:5">
      <c r="C128" s="155"/>
    </row>
    <row r="129" spans="1:5">
      <c r="A129" s="269"/>
      <c r="E129" s="155"/>
    </row>
    <row r="130" spans="1:5">
      <c r="C130" s="155"/>
    </row>
    <row r="131" spans="1:5">
      <c r="A131" s="269"/>
      <c r="E131" s="155"/>
    </row>
    <row r="132" spans="1:5">
      <c r="C132" s="155"/>
    </row>
    <row r="133" spans="1:5">
      <c r="A133" s="269"/>
      <c r="E133" s="155"/>
    </row>
    <row r="134" spans="1:5">
      <c r="C134" s="155"/>
    </row>
    <row r="135" spans="1:5">
      <c r="A135" s="269"/>
      <c r="E135" s="155"/>
    </row>
    <row r="136" spans="1:5">
      <c r="C136" s="155"/>
    </row>
    <row r="137" spans="1:5">
      <c r="A137" s="269"/>
      <c r="E137" s="155"/>
    </row>
    <row r="138" spans="1:5">
      <c r="C138" s="155"/>
    </row>
    <row r="139" spans="1:5">
      <c r="A139" s="269"/>
      <c r="E139" s="155"/>
    </row>
    <row r="140" spans="1:5">
      <c r="C140" s="155"/>
    </row>
    <row r="141" spans="1:5">
      <c r="A141" s="269"/>
      <c r="E141" s="155"/>
    </row>
    <row r="142" spans="1:5">
      <c r="C142" s="155"/>
    </row>
    <row r="143" spans="1:5">
      <c r="A143" s="269"/>
      <c r="E143" s="155"/>
    </row>
    <row r="144" spans="1:5">
      <c r="C144" s="155"/>
    </row>
    <row r="145" spans="1:5">
      <c r="A145" s="269"/>
      <c r="E145" s="155"/>
    </row>
    <row r="146" spans="1:5">
      <c r="C146" s="155"/>
    </row>
    <row r="147" spans="1:5">
      <c r="A147" s="269"/>
      <c r="E147" s="155"/>
    </row>
    <row r="148" spans="1:5">
      <c r="C148" s="155"/>
    </row>
    <row r="149" spans="1:5">
      <c r="A149" s="269"/>
      <c r="E149" s="155"/>
    </row>
    <row r="150" spans="1:5">
      <c r="C150" s="155"/>
    </row>
    <row r="151" spans="1:5">
      <c r="A151" s="269"/>
      <c r="E151" s="155"/>
    </row>
    <row r="152" spans="1:5">
      <c r="C152" s="155"/>
    </row>
    <row r="153" spans="1:5">
      <c r="A153" s="269"/>
      <c r="E153" s="155"/>
    </row>
    <row r="154" spans="1:5">
      <c r="C154" s="155"/>
    </row>
    <row r="155" spans="1:5">
      <c r="A155" s="269"/>
      <c r="E155" s="155"/>
    </row>
    <row r="156" spans="1:5">
      <c r="C156" s="155"/>
    </row>
    <row r="157" spans="1:5">
      <c r="A157" s="269"/>
      <c r="E157" s="155"/>
    </row>
    <row r="158" spans="1:5">
      <c r="C158" s="155"/>
    </row>
    <row r="159" spans="1:5">
      <c r="A159" s="269"/>
      <c r="E159" s="155"/>
    </row>
    <row r="160" spans="1:5">
      <c r="C160" s="155"/>
    </row>
    <row r="161" spans="1:5">
      <c r="A161" s="269"/>
      <c r="E161" s="155"/>
    </row>
    <row r="162" spans="1:5">
      <c r="C162" s="155"/>
    </row>
    <row r="163" spans="1:5">
      <c r="A163" s="269"/>
      <c r="E163" s="155"/>
    </row>
    <row r="164" spans="1:5">
      <c r="C164" s="155"/>
    </row>
    <row r="165" spans="1:5">
      <c r="A165" s="269"/>
      <c r="E165" s="155"/>
    </row>
    <row r="166" spans="1:5">
      <c r="C166" s="155"/>
    </row>
    <row r="167" spans="1:5">
      <c r="A167" s="269"/>
      <c r="E167" s="155"/>
    </row>
    <row r="168" spans="1:5">
      <c r="C168" s="155"/>
    </row>
    <row r="169" spans="1:5">
      <c r="A169" s="269"/>
      <c r="E169" s="155"/>
    </row>
    <row r="170" spans="1:5">
      <c r="C170" s="155"/>
    </row>
    <row r="171" spans="1:5">
      <c r="A171" s="269"/>
      <c r="E171" s="155"/>
    </row>
    <row r="172" spans="1:5">
      <c r="C172" s="155"/>
    </row>
    <row r="173" spans="1:5">
      <c r="A173" s="269"/>
      <c r="E173" s="155"/>
    </row>
    <row r="174" spans="1:5">
      <c r="C174" s="155"/>
    </row>
    <row r="175" spans="1:5">
      <c r="A175" s="269"/>
      <c r="E175" s="155"/>
    </row>
    <row r="176" spans="1:5">
      <c r="C176" s="155"/>
    </row>
    <row r="177" spans="1:5">
      <c r="A177" s="269"/>
      <c r="E177" s="155"/>
    </row>
    <row r="178" spans="1:5">
      <c r="C178" s="155"/>
    </row>
    <row r="179" spans="1:5">
      <c r="A179" s="269"/>
      <c r="E179" s="155"/>
    </row>
    <row r="180" spans="1:5">
      <c r="C180" s="155"/>
    </row>
    <row r="181" spans="1:5">
      <c r="A181" s="269"/>
      <c r="E181" s="155"/>
    </row>
    <row r="182" spans="1:5">
      <c r="C182" s="155"/>
    </row>
    <row r="183" spans="1:5">
      <c r="A183" s="269"/>
      <c r="E183" s="155"/>
    </row>
    <row r="184" spans="1:5">
      <c r="C184" s="155"/>
    </row>
    <row r="185" spans="1:5">
      <c r="A185" s="269"/>
      <c r="E185" s="155"/>
    </row>
    <row r="186" spans="1:5">
      <c r="C186" s="155"/>
    </row>
    <row r="187" spans="1:5">
      <c r="A187" s="269"/>
      <c r="E187" s="155"/>
    </row>
    <row r="188" spans="1:5">
      <c r="C188" s="155"/>
    </row>
    <row r="189" spans="1:5">
      <c r="A189" s="269"/>
      <c r="E189" s="155"/>
    </row>
    <row r="190" spans="1:5">
      <c r="C190" s="155"/>
    </row>
    <row r="191" spans="1:5">
      <c r="A191" s="269"/>
      <c r="E191" s="155"/>
    </row>
    <row r="192" spans="1:5">
      <c r="C192" s="155"/>
    </row>
    <row r="193" spans="1:5">
      <c r="A193" s="269"/>
      <c r="E193" s="155"/>
    </row>
    <row r="194" spans="1:5">
      <c r="C194" s="155"/>
    </row>
    <row r="195" spans="1:5">
      <c r="A195" s="269"/>
      <c r="E195" s="155"/>
    </row>
    <row r="196" spans="1:5">
      <c r="C196" s="155"/>
    </row>
    <row r="197" spans="1:5">
      <c r="A197" s="269"/>
      <c r="E197" s="155"/>
    </row>
    <row r="198" spans="1:5">
      <c r="C198" s="155"/>
    </row>
    <row r="199" spans="1:5">
      <c r="A199" s="269"/>
      <c r="E199" s="155"/>
    </row>
    <row r="200" spans="1:5">
      <c r="C200" s="155"/>
    </row>
    <row r="201" spans="1:5">
      <c r="A201" s="269"/>
      <c r="E201" s="155"/>
    </row>
    <row r="202" spans="1:5">
      <c r="D202" s="155"/>
    </row>
    <row r="203" spans="1:5">
      <c r="A203" s="269"/>
      <c r="E203" s="155"/>
    </row>
    <row r="204" spans="1:5">
      <c r="C204" s="155"/>
    </row>
    <row r="205" spans="1:5">
      <c r="A205" s="269"/>
      <c r="E205" s="155"/>
    </row>
    <row r="206" spans="1:5">
      <c r="C206" s="155"/>
    </row>
    <row r="207" spans="1:5">
      <c r="A207" s="269"/>
      <c r="E207" s="155"/>
    </row>
    <row r="208" spans="1:5">
      <c r="C208" s="155"/>
    </row>
    <row r="209" spans="1:5">
      <c r="A209" s="269"/>
      <c r="E209" s="155"/>
    </row>
    <row r="210" spans="1:5">
      <c r="C210" s="155"/>
    </row>
    <row r="211" spans="1:5">
      <c r="A211" s="269"/>
      <c r="E211" s="155"/>
    </row>
    <row r="212" spans="1:5">
      <c r="C212" s="155"/>
    </row>
    <row r="213" spans="1:5">
      <c r="A213" s="269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F2046-6E3E-44D1-80DF-420668F3D739}">
  <dimension ref="A6:P214"/>
  <sheetViews>
    <sheetView showGridLines="0" topLeftCell="A4" workbookViewId="0">
      <selection activeCell="A4" sqref="A1:XFD1048576"/>
    </sheetView>
  </sheetViews>
  <sheetFormatPr baseColWidth="10" defaultRowHeight="14.5"/>
  <cols>
    <col min="2" max="2" width="16.54296875" customWidth="1"/>
    <col min="4" max="4" width="22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41.54296875" bestFit="1" customWidth="1"/>
  </cols>
  <sheetData>
    <row r="6" spans="1:13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3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3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3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3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3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</row>
    <row r="12" spans="1:13" ht="19" thickBot="1">
      <c r="A12" s="1"/>
      <c r="B12" s="331" t="s">
        <v>2</v>
      </c>
      <c r="C12" s="332"/>
      <c r="D12" s="332"/>
      <c r="E12" s="333"/>
      <c r="F12" s="309"/>
      <c r="G12" s="296"/>
      <c r="H12" s="1"/>
      <c r="I12" s="1"/>
      <c r="J12" s="76"/>
      <c r="K12" s="1"/>
    </row>
    <row r="13" spans="1:13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M13" t="s">
        <v>20</v>
      </c>
    </row>
    <row r="14" spans="1:13" ht="18" thickBot="1">
      <c r="A14" s="11"/>
      <c r="B14" s="334" t="s">
        <v>3</v>
      </c>
      <c r="C14" s="335"/>
      <c r="D14" s="336"/>
      <c r="E14" s="17">
        <f>SUM(E15:E17)</f>
        <v>208277.14</v>
      </c>
      <c r="F14" s="264"/>
      <c r="G14" s="331" t="s">
        <v>4</v>
      </c>
      <c r="H14" s="332"/>
      <c r="I14" s="332"/>
      <c r="J14" s="332"/>
      <c r="K14" s="333"/>
      <c r="L14" s="13"/>
    </row>
    <row r="15" spans="1:13">
      <c r="A15" s="1"/>
      <c r="B15" s="337" t="s">
        <v>5</v>
      </c>
      <c r="C15" s="338"/>
      <c r="D15" s="339"/>
      <c r="E15" s="20">
        <f>J16+J17+J18+J19</f>
        <v>122167.69</v>
      </c>
      <c r="F15" s="153"/>
      <c r="G15" s="340" t="s">
        <v>6</v>
      </c>
      <c r="H15" s="341"/>
      <c r="I15" s="21"/>
      <c r="J15" s="342" t="s">
        <v>5</v>
      </c>
      <c r="K15" s="343"/>
      <c r="L15" s="13"/>
    </row>
    <row r="16" spans="1:13">
      <c r="A16" s="1"/>
      <c r="B16" s="349" t="s">
        <v>7</v>
      </c>
      <c r="C16" s="350"/>
      <c r="D16" s="351"/>
      <c r="E16" s="20">
        <f>G22+G23</f>
        <v>39193.21</v>
      </c>
      <c r="F16" s="153"/>
      <c r="G16" s="22">
        <v>18475.22</v>
      </c>
      <c r="H16" s="23" t="s">
        <v>8</v>
      </c>
      <c r="I16" s="24"/>
      <c r="J16" s="25">
        <v>13977.24</v>
      </c>
      <c r="K16" s="26" t="s">
        <v>9</v>
      </c>
      <c r="L16" s="19"/>
    </row>
    <row r="17" spans="1:16">
      <c r="A17" s="1"/>
      <c r="B17" s="352" t="s">
        <v>6</v>
      </c>
      <c r="C17" s="353"/>
      <c r="D17" s="354"/>
      <c r="E17" s="28">
        <f>G16+G17+G18</f>
        <v>46916.240000000005</v>
      </c>
      <c r="F17" s="153">
        <f>E15+E16+E17</f>
        <v>208277.14</v>
      </c>
      <c r="G17" s="22">
        <v>16743.52</v>
      </c>
      <c r="H17" s="29" t="s">
        <v>10</v>
      </c>
      <c r="I17" s="30"/>
      <c r="J17" s="25">
        <v>78087.09</v>
      </c>
      <c r="K17" s="31" t="s">
        <v>10</v>
      </c>
      <c r="L17" s="13"/>
      <c r="M17" s="8"/>
    </row>
    <row r="18" spans="1:16">
      <c r="A18" s="1"/>
      <c r="B18" s="236" t="s">
        <v>187</v>
      </c>
      <c r="C18" s="237"/>
      <c r="D18" s="238"/>
      <c r="E18" s="28">
        <f>+J22</f>
        <v>20242.95</v>
      </c>
      <c r="F18" s="153">
        <v>90000</v>
      </c>
      <c r="G18" s="22">
        <v>11697.5</v>
      </c>
      <c r="H18" s="29" t="s">
        <v>12</v>
      </c>
      <c r="I18" s="30"/>
      <c r="J18" s="25">
        <v>20212.39</v>
      </c>
      <c r="K18" s="31" t="s">
        <v>12</v>
      </c>
      <c r="L18" s="13"/>
      <c r="M18" s="8"/>
    </row>
    <row r="19" spans="1:16">
      <c r="B19" s="379" t="s">
        <v>11</v>
      </c>
      <c r="C19" s="380"/>
      <c r="D19" s="381"/>
      <c r="E19" s="20">
        <f>G29+G31+G30+G28</f>
        <v>15149.220000000001</v>
      </c>
      <c r="F19" s="153">
        <f>+F17-F18</f>
        <v>118277.14000000001</v>
      </c>
      <c r="G19" s="33"/>
      <c r="H19" s="34"/>
      <c r="I19" s="30"/>
      <c r="J19" s="25">
        <v>9890.9699999999993</v>
      </c>
      <c r="K19" s="31" t="s">
        <v>14</v>
      </c>
      <c r="M19" s="8"/>
    </row>
    <row r="20" spans="1:16">
      <c r="B20" s="344" t="s">
        <v>13</v>
      </c>
      <c r="C20" s="345"/>
      <c r="D20" s="346"/>
      <c r="E20" s="20">
        <v>17697730.359999999</v>
      </c>
      <c r="F20" s="153"/>
      <c r="G20" s="239"/>
      <c r="H20" s="240"/>
      <c r="I20" s="30"/>
      <c r="J20" s="25"/>
      <c r="K20" s="31"/>
      <c r="L20" s="152"/>
      <c r="M20" s="8" t="s">
        <v>405</v>
      </c>
    </row>
    <row r="21" spans="1:16">
      <c r="B21" s="187" t="s">
        <v>15</v>
      </c>
      <c r="C21" s="188"/>
      <c r="D21" s="189"/>
      <c r="E21" s="190">
        <f>SUM(E22:E25)</f>
        <v>0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8"/>
    </row>
    <row r="22" spans="1:16" ht="15" customHeight="1">
      <c r="B22" s="303"/>
      <c r="C22" s="304"/>
      <c r="D22" s="308"/>
      <c r="E22" s="190">
        <v>0</v>
      </c>
      <c r="F22" s="153"/>
      <c r="G22" s="44">
        <v>14444.64</v>
      </c>
      <c r="H22" s="29" t="s">
        <v>10</v>
      </c>
      <c r="I22" s="30"/>
      <c r="J22" s="25">
        <v>20242.95</v>
      </c>
      <c r="K22" s="31" t="s">
        <v>188</v>
      </c>
      <c r="L22" s="294"/>
      <c r="M22" s="8"/>
    </row>
    <row r="23" spans="1:16" ht="15" customHeight="1">
      <c r="B23" s="301"/>
      <c r="C23" s="302"/>
      <c r="D23" s="308"/>
      <c r="E23" s="190">
        <v>0</v>
      </c>
      <c r="F23" s="153"/>
      <c r="G23" s="44">
        <v>24748.57</v>
      </c>
      <c r="H23" s="29" t="s">
        <v>18</v>
      </c>
      <c r="I23" s="30"/>
      <c r="J23" s="25"/>
      <c r="K23" s="31"/>
      <c r="L23" s="294"/>
      <c r="M23" s="8"/>
    </row>
    <row r="24" spans="1:16" ht="15" thickBot="1">
      <c r="B24" s="187"/>
      <c r="C24" s="188"/>
      <c r="D24" s="198"/>
      <c r="E24" s="190">
        <v>0</v>
      </c>
      <c r="F24" s="153"/>
      <c r="G24" s="51"/>
      <c r="H24" s="34"/>
      <c r="I24" s="30"/>
      <c r="J24" s="210"/>
      <c r="K24" s="53"/>
      <c r="L24" s="294"/>
      <c r="M24" s="235"/>
    </row>
    <row r="25" spans="1:16" ht="15" thickBot="1">
      <c r="B25" s="187"/>
      <c r="C25" s="188"/>
      <c r="D25" s="198"/>
      <c r="E25" s="190">
        <v>0</v>
      </c>
      <c r="F25" s="153"/>
      <c r="G25" s="331" t="s">
        <v>21</v>
      </c>
      <c r="H25" s="332"/>
      <c r="I25" s="332"/>
      <c r="J25" s="332"/>
      <c r="K25" s="333"/>
    </row>
    <row r="26" spans="1:16">
      <c r="B26" s="202" t="s">
        <v>17</v>
      </c>
      <c r="C26" s="203"/>
      <c r="D26" s="204"/>
      <c r="E26" s="234">
        <v>19457.96</v>
      </c>
      <c r="F26" s="220"/>
      <c r="G26" s="54"/>
      <c r="H26" s="55"/>
      <c r="I26" s="56"/>
      <c r="J26" s="211"/>
      <c r="K26" s="58"/>
    </row>
    <row r="27" spans="1:16">
      <c r="B27" s="202" t="s">
        <v>163</v>
      </c>
      <c r="C27" s="203"/>
      <c r="D27" s="204"/>
      <c r="E27" s="234">
        <v>0</v>
      </c>
      <c r="F27" s="153">
        <f>+F19</f>
        <v>118277.14000000001</v>
      </c>
      <c r="G27" s="377" t="s">
        <v>5</v>
      </c>
      <c r="H27" s="378"/>
      <c r="I27" s="59"/>
      <c r="J27" s="60"/>
      <c r="K27" s="45"/>
      <c r="O27" s="155"/>
      <c r="P27" s="155"/>
    </row>
    <row r="28" spans="1:16">
      <c r="B28" s="199" t="s">
        <v>22</v>
      </c>
      <c r="C28" s="200"/>
      <c r="D28" s="201"/>
      <c r="E28" s="234">
        <v>0</v>
      </c>
      <c r="F28" s="288">
        <f>SUM(E26:E32)</f>
        <v>19457.96</v>
      </c>
      <c r="G28" s="22">
        <v>4203.13</v>
      </c>
      <c r="H28" s="62" t="s">
        <v>9</v>
      </c>
      <c r="I28" s="59"/>
      <c r="J28" s="60"/>
      <c r="K28" s="45"/>
      <c r="N28" s="155"/>
      <c r="P28" s="155"/>
    </row>
    <row r="29" spans="1:16">
      <c r="B29" s="199" t="s">
        <v>64</v>
      </c>
      <c r="C29" s="200"/>
      <c r="D29" s="201"/>
      <c r="E29" s="234">
        <v>0</v>
      </c>
      <c r="F29" s="153">
        <f>+F27-F28</f>
        <v>98819.180000000022</v>
      </c>
      <c r="G29" s="22">
        <v>1711.77</v>
      </c>
      <c r="H29" s="62" t="s">
        <v>26</v>
      </c>
      <c r="I29" s="63"/>
      <c r="J29" s="64" t="s">
        <v>27</v>
      </c>
      <c r="K29" s="65" t="s">
        <v>28</v>
      </c>
    </row>
    <row r="30" spans="1:16">
      <c r="B30" s="199" t="s">
        <v>52</v>
      </c>
      <c r="C30" s="200"/>
      <c r="D30" s="201"/>
      <c r="E30" s="49">
        <v>0</v>
      </c>
      <c r="F30" s="221"/>
      <c r="G30" s="67">
        <v>1917.07</v>
      </c>
      <c r="H30" s="68" t="s">
        <v>14</v>
      </c>
      <c r="I30" s="63"/>
      <c r="J30" s="64" t="s">
        <v>30</v>
      </c>
      <c r="K30" s="65" t="s">
        <v>31</v>
      </c>
      <c r="N30" s="155"/>
      <c r="P30" s="155"/>
    </row>
    <row r="31" spans="1:16" ht="15" thickBot="1">
      <c r="B31" s="344" t="s">
        <v>69</v>
      </c>
      <c r="C31" s="345"/>
      <c r="D31" s="346"/>
      <c r="E31" s="234">
        <v>0</v>
      </c>
      <c r="F31" s="220"/>
      <c r="G31" s="71">
        <v>7317.25</v>
      </c>
      <c r="H31" s="72" t="s">
        <v>12</v>
      </c>
      <c r="I31" s="73"/>
      <c r="J31" s="74" t="s">
        <v>32</v>
      </c>
      <c r="K31" s="75" t="s">
        <v>33</v>
      </c>
    </row>
    <row r="32" spans="1:16" ht="15" thickBot="1">
      <c r="B32" s="363" t="s">
        <v>29</v>
      </c>
      <c r="C32" s="364"/>
      <c r="D32" s="365"/>
      <c r="E32" s="66">
        <v>0</v>
      </c>
      <c r="F32" s="220"/>
      <c r="N32" s="155"/>
      <c r="P32" s="155"/>
    </row>
    <row r="33" spans="2:16">
      <c r="E33" s="61"/>
      <c r="F33" s="220"/>
    </row>
    <row r="34" spans="2:16">
      <c r="E34" s="61"/>
      <c r="F34" s="219"/>
      <c r="H34" s="61"/>
      <c r="I34" s="61"/>
      <c r="J34" s="39"/>
      <c r="K34" s="61"/>
      <c r="N34" s="155"/>
      <c r="P34" s="155"/>
    </row>
    <row r="35" spans="2:16">
      <c r="E35" s="61"/>
      <c r="F35" s="219"/>
      <c r="G35" s="8"/>
      <c r="H35" s="61"/>
      <c r="I35" s="61"/>
      <c r="J35" s="39"/>
      <c r="K35" s="61"/>
    </row>
    <row r="36" spans="2:16">
      <c r="E36" s="61"/>
      <c r="F36" s="219"/>
      <c r="G36" s="8"/>
      <c r="H36" s="13"/>
      <c r="I36" s="61"/>
      <c r="J36" s="13"/>
      <c r="K36" s="83"/>
      <c r="L36" s="61"/>
      <c r="N36" s="155"/>
      <c r="P36" s="155"/>
    </row>
    <row r="37" spans="2:16">
      <c r="B37" s="61"/>
      <c r="C37" s="61"/>
      <c r="D37" s="61"/>
      <c r="E37" s="78" t="s">
        <v>404</v>
      </c>
      <c r="F37" s="297"/>
      <c r="G37" s="181"/>
      <c r="H37" s="161"/>
      <c r="I37" s="197"/>
      <c r="J37" s="13"/>
      <c r="K37" s="83"/>
      <c r="L37" s="61"/>
    </row>
    <row r="38" spans="2:16" s="61" customFormat="1" ht="15" customHeight="1">
      <c r="E38" s="78"/>
      <c r="F38" s="297"/>
      <c r="G38" s="86"/>
      <c r="I38" s="197"/>
      <c r="J38" s="13"/>
      <c r="K38" s="83"/>
      <c r="L38" s="88"/>
      <c r="N38" s="273"/>
      <c r="P38" s="273"/>
    </row>
    <row r="39" spans="2:16" s="61" customFormat="1" ht="15" customHeight="1">
      <c r="E39" s="83" t="s">
        <v>34</v>
      </c>
      <c r="F39" s="297">
        <f>F19</f>
        <v>118277.14000000001</v>
      </c>
      <c r="G39" s="86"/>
      <c r="H39" s="161"/>
      <c r="I39" s="197"/>
      <c r="J39" s="13"/>
      <c r="K39" s="85"/>
      <c r="L39" s="161"/>
    </row>
    <row r="40" spans="2:16" s="61" customFormat="1" ht="15" customHeight="1">
      <c r="E40" s="83" t="s">
        <v>35</v>
      </c>
      <c r="F40" s="297">
        <f>+E19</f>
        <v>15149.220000000001</v>
      </c>
      <c r="G40" s="86"/>
      <c r="I40" s="214"/>
      <c r="J40" s="13"/>
      <c r="K40" s="87"/>
      <c r="L40" s="161"/>
      <c r="N40" s="273"/>
      <c r="P40" s="273"/>
    </row>
    <row r="41" spans="2:16" s="61" customFormat="1" ht="15" customHeight="1">
      <c r="E41" s="83" t="s">
        <v>36</v>
      </c>
      <c r="F41" s="297">
        <v>0</v>
      </c>
      <c r="G41" s="9"/>
      <c r="I41" s="197"/>
      <c r="J41" s="13"/>
    </row>
    <row r="42" spans="2:16" s="61" customFormat="1" ht="15" customHeight="1">
      <c r="E42" s="83" t="s">
        <v>37</v>
      </c>
      <c r="F42" s="297">
        <v>0</v>
      </c>
      <c r="G42" s="9"/>
      <c r="I42" s="197"/>
      <c r="J42" s="13"/>
      <c r="N42" s="273"/>
      <c r="P42" s="273"/>
    </row>
    <row r="43" spans="2:16" s="61" customFormat="1" ht="15" customHeight="1">
      <c r="E43" s="85" t="s">
        <v>38</v>
      </c>
      <c r="F43" s="231">
        <f>SUM(F39:F42)</f>
        <v>133426.36000000002</v>
      </c>
      <c r="G43" s="9"/>
      <c r="H43" s="163"/>
      <c r="I43" s="229"/>
      <c r="J43" s="13"/>
    </row>
    <row r="44" spans="2:16" s="61" customFormat="1" ht="15" customHeight="1">
      <c r="E44" s="87"/>
      <c r="F44" s="232"/>
      <c r="G44" s="9"/>
      <c r="H44" s="165"/>
      <c r="I44" s="230"/>
      <c r="J44" s="13"/>
      <c r="N44" s="273"/>
      <c r="P44" s="273"/>
    </row>
    <row r="45" spans="2:16" s="61" customFormat="1" ht="15" customHeight="1">
      <c r="E45" s="87" t="s">
        <v>152</v>
      </c>
      <c r="F45" s="232">
        <v>270000</v>
      </c>
      <c r="G45" s="9"/>
      <c r="H45" s="165"/>
      <c r="I45" s="230"/>
      <c r="J45" s="13"/>
      <c r="N45" s="273"/>
      <c r="P45" s="273"/>
    </row>
    <row r="46" spans="2:16" s="61" customFormat="1" ht="15" customHeight="1">
      <c r="E46" s="87" t="s">
        <v>78</v>
      </c>
      <c r="F46" s="232">
        <v>115000</v>
      </c>
      <c r="G46" s="9"/>
      <c r="H46" s="165"/>
      <c r="I46" s="230"/>
      <c r="J46" s="13"/>
      <c r="N46" s="273"/>
      <c r="P46" s="273"/>
    </row>
    <row r="47" spans="2:16" s="61" customFormat="1" ht="15" customHeight="1">
      <c r="E47" s="87" t="s">
        <v>178</v>
      </c>
      <c r="F47" s="232">
        <v>1300000</v>
      </c>
      <c r="G47" s="9"/>
      <c r="H47" s="165"/>
      <c r="I47" s="230"/>
      <c r="J47" s="13"/>
      <c r="N47" s="273"/>
      <c r="P47" s="273"/>
    </row>
    <row r="48" spans="2:16" s="61" customFormat="1" ht="15" customHeight="1">
      <c r="E48" s="87" t="s">
        <v>180</v>
      </c>
      <c r="F48" s="232">
        <v>55000</v>
      </c>
      <c r="G48" s="9"/>
      <c r="H48" s="165"/>
      <c r="I48" s="230"/>
      <c r="J48" s="13"/>
      <c r="N48" s="273"/>
      <c r="P48" s="273"/>
    </row>
    <row r="49" spans="2:16" s="61" customFormat="1" ht="15" customHeight="1">
      <c r="E49" s="87" t="s">
        <v>64</v>
      </c>
      <c r="F49" s="232">
        <v>155000</v>
      </c>
      <c r="G49" s="9"/>
      <c r="H49" s="165"/>
      <c r="I49" s="230"/>
      <c r="J49" s="13"/>
      <c r="N49" s="273"/>
      <c r="P49" s="273"/>
    </row>
    <row r="50" spans="2:16" s="61" customFormat="1" ht="15" customHeight="1">
      <c r="E50" s="87" t="s">
        <v>69</v>
      </c>
      <c r="F50" s="232">
        <v>60000</v>
      </c>
      <c r="G50" s="9"/>
      <c r="H50" s="165"/>
      <c r="I50" s="230"/>
      <c r="J50" s="13"/>
      <c r="N50" s="273"/>
      <c r="P50" s="273"/>
    </row>
    <row r="51" spans="2:16" s="61" customFormat="1" ht="15" customHeight="1">
      <c r="E51" s="91" t="s">
        <v>24</v>
      </c>
      <c r="F51" s="228">
        <f>15000+65000+220000+18000</f>
        <v>318000</v>
      </c>
      <c r="G51" s="8"/>
      <c r="H51" s="91"/>
      <c r="I51" s="231"/>
      <c r="J51" s="13"/>
    </row>
    <row r="52" spans="2:16" s="61" customFormat="1" ht="15" customHeight="1">
      <c r="E52" s="91" t="s">
        <v>22</v>
      </c>
      <c r="F52" s="228">
        <v>35000</v>
      </c>
      <c r="G52" s="8"/>
      <c r="H52" s="96"/>
      <c r="I52" s="231"/>
      <c r="J52" s="262"/>
    </row>
    <row r="53" spans="2:16" s="61" customFormat="1">
      <c r="E53" s="91" t="s">
        <v>40</v>
      </c>
      <c r="F53" s="232">
        <v>200000</v>
      </c>
      <c r="G53" s="82"/>
      <c r="H53" s="83"/>
      <c r="I53" s="228"/>
      <c r="J53" s="13"/>
    </row>
    <row r="54" spans="2:16" s="61" customFormat="1">
      <c r="E54" s="96" t="s">
        <v>41</v>
      </c>
      <c r="F54" s="231">
        <f>SUM(F45:F53)</f>
        <v>2508000</v>
      </c>
      <c r="G54" s="82"/>
      <c r="H54" s="83"/>
      <c r="I54" s="233"/>
      <c r="J54" s="13"/>
    </row>
    <row r="55" spans="2:16" s="61" customFormat="1">
      <c r="E55" s="96" t="s">
        <v>42</v>
      </c>
      <c r="F55" s="231">
        <f>F43-F54</f>
        <v>-2374573.64</v>
      </c>
      <c r="G55" s="82"/>
      <c r="H55" s="83"/>
      <c r="I55" s="233"/>
      <c r="J55" s="13"/>
    </row>
    <row r="56" spans="2:16" s="61" customFormat="1">
      <c r="E56" s="83"/>
      <c r="F56" s="151"/>
      <c r="G56" s="82"/>
      <c r="H56" s="83"/>
      <c r="I56" s="233"/>
      <c r="J56" s="13"/>
      <c r="L56" s="91"/>
    </row>
    <row r="57" spans="2:16" s="61" customFormat="1">
      <c r="E57" s="83" t="s">
        <v>43</v>
      </c>
      <c r="F57" s="151">
        <v>0</v>
      </c>
      <c r="G57" s="82"/>
      <c r="H57" s="96"/>
      <c r="I57" s="228"/>
      <c r="J57" s="13"/>
      <c r="L57" s="91"/>
    </row>
    <row r="58" spans="2:16" s="61" customFormat="1">
      <c r="E58" s="83" t="s">
        <v>44</v>
      </c>
      <c r="F58" s="151">
        <f>170000</f>
        <v>170000</v>
      </c>
      <c r="G58" s="82"/>
      <c r="H58" s="96"/>
      <c r="I58" s="228"/>
      <c r="J58" s="13"/>
      <c r="L58" s="91"/>
    </row>
    <row r="59" spans="2:16" s="61" customFormat="1">
      <c r="E59" s="83" t="s">
        <v>386</v>
      </c>
      <c r="F59" s="151">
        <v>3866.8</v>
      </c>
      <c r="G59" s="82"/>
      <c r="H59" s="83"/>
      <c r="I59" s="233"/>
      <c r="J59" s="13"/>
      <c r="L59" s="96"/>
    </row>
    <row r="60" spans="2:16" s="61" customFormat="1">
      <c r="E60" s="83" t="s">
        <v>45</v>
      </c>
      <c r="F60" s="95">
        <v>993098.58</v>
      </c>
      <c r="G60" s="8"/>
      <c r="H60" s="96"/>
      <c r="I60" s="219"/>
      <c r="J60" s="13"/>
      <c r="L60" s="96"/>
    </row>
    <row r="61" spans="2:16" s="61" customFormat="1">
      <c r="E61" s="83" t="s">
        <v>205</v>
      </c>
      <c r="F61" s="95">
        <v>493295.19</v>
      </c>
      <c r="G61" s="8"/>
      <c r="J61" s="13"/>
    </row>
    <row r="62" spans="2:16" s="61" customFormat="1">
      <c r="B62"/>
      <c r="C62"/>
      <c r="D62"/>
      <c r="E62" s="83" t="s">
        <v>206</v>
      </c>
      <c r="F62" s="95">
        <v>0</v>
      </c>
      <c r="G62" s="8"/>
      <c r="J62" s="13"/>
      <c r="L62" s="83"/>
    </row>
    <row r="63" spans="2:16">
      <c r="E63" s="96" t="s">
        <v>46</v>
      </c>
      <c r="F63" s="99">
        <f>SUM(F57:F62)</f>
        <v>1660260.5699999998</v>
      </c>
      <c r="G63" s="8"/>
      <c r="L63" s="61"/>
    </row>
    <row r="64" spans="2:16">
      <c r="E64" s="83"/>
      <c r="F64" s="151"/>
      <c r="G64" s="8"/>
      <c r="L64" s="61"/>
    </row>
    <row r="65" spans="1:7">
      <c r="E65" s="96" t="s">
        <v>47</v>
      </c>
      <c r="F65" s="99">
        <f>F55-F63</f>
        <v>-4034834.21</v>
      </c>
      <c r="G65" s="8"/>
    </row>
    <row r="66" spans="1:7">
      <c r="D66" s="247" t="s">
        <v>192</v>
      </c>
      <c r="E66" s="61"/>
      <c r="F66" s="219"/>
      <c r="G66" s="8"/>
    </row>
    <row r="67" spans="1:7">
      <c r="D67" s="247" t="s">
        <v>194</v>
      </c>
      <c r="E67" s="61"/>
      <c r="F67" s="219"/>
      <c r="G67" s="8"/>
    </row>
    <row r="68" spans="1:7">
      <c r="D68" s="8" t="s">
        <v>9</v>
      </c>
      <c r="E68" s="61"/>
      <c r="F68" s="219"/>
      <c r="G68" s="124">
        <f>SUM(E76:F76)</f>
        <v>0</v>
      </c>
    </row>
    <row r="69" spans="1:7">
      <c r="D69" s="8" t="s">
        <v>195</v>
      </c>
      <c r="E69" s="61"/>
      <c r="F69" s="219"/>
      <c r="G69" s="8"/>
    </row>
    <row r="70" spans="1:7">
      <c r="D70" s="8" t="s">
        <v>188</v>
      </c>
      <c r="E70" s="243"/>
      <c r="F70" s="243"/>
      <c r="G70" s="8"/>
    </row>
    <row r="71" spans="1:7">
      <c r="D71" s="8"/>
      <c r="E71" s="243"/>
      <c r="F71" s="244"/>
    </row>
    <row r="72" spans="1:7">
      <c r="E72" s="245"/>
      <c r="F72" s="246"/>
    </row>
    <row r="73" spans="1:7">
      <c r="E73" s="245"/>
      <c r="F73" s="246"/>
    </row>
    <row r="74" spans="1:7">
      <c r="E74" s="249"/>
      <c r="F74" s="287"/>
    </row>
    <row r="75" spans="1:7">
      <c r="E75" s="124"/>
      <c r="F75" s="287"/>
    </row>
    <row r="76" spans="1:7">
      <c r="E76" s="8"/>
    </row>
    <row r="77" spans="1:7">
      <c r="E77" s="8"/>
    </row>
    <row r="78" spans="1:7">
      <c r="A78" s="268"/>
      <c r="E78" s="8"/>
    </row>
    <row r="79" spans="1:7">
      <c r="E79" s="8"/>
    </row>
    <row r="80" spans="1:7">
      <c r="B80" s="235"/>
      <c r="E80" s="8"/>
    </row>
    <row r="81" spans="1:5">
      <c r="E81" s="8"/>
    </row>
    <row r="82" spans="1:5"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93"/>
    </row>
    <row r="111" spans="1:5">
      <c r="C111" s="155"/>
      <c r="E111" s="8"/>
    </row>
    <row r="112" spans="1:5">
      <c r="A112" s="269"/>
      <c r="E112" s="293"/>
    </row>
    <row r="113" spans="1:5">
      <c r="C113" s="155"/>
      <c r="E113" s="8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  <c r="E123" s="79"/>
    </row>
    <row r="124" spans="1:5">
      <c r="A124" s="269"/>
      <c r="E124" s="277"/>
    </row>
    <row r="125" spans="1:5">
      <c r="C125" s="155"/>
      <c r="E125" s="79"/>
    </row>
    <row r="126" spans="1:5">
      <c r="A126" s="269"/>
      <c r="E126" s="277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C199" s="155"/>
    </row>
    <row r="200" spans="1:5">
      <c r="A200" s="269"/>
      <c r="E200" s="155"/>
    </row>
    <row r="201" spans="1:5">
      <c r="C201" s="155"/>
    </row>
    <row r="202" spans="1:5">
      <c r="A202" s="269"/>
      <c r="E202" s="155"/>
    </row>
    <row r="203" spans="1:5">
      <c r="D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5">
      <c r="C209" s="155"/>
    </row>
    <row r="210" spans="1:5">
      <c r="A210" s="269"/>
      <c r="E210" s="155"/>
    </row>
    <row r="211" spans="1:5">
      <c r="C211" s="155"/>
    </row>
    <row r="212" spans="1:5">
      <c r="A212" s="269"/>
      <c r="E212" s="155"/>
    </row>
    <row r="213" spans="1:5">
      <c r="C213" s="155"/>
    </row>
    <row r="214" spans="1:5">
      <c r="A214" s="269"/>
    </row>
  </sheetData>
  <mergeCells count="16"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AEB20-9213-4BF6-91A2-7D64F697E5D3}">
  <dimension ref="B6:P62"/>
  <sheetViews>
    <sheetView showGridLines="0" topLeftCell="A4" workbookViewId="0">
      <selection activeCell="A4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79" customWidth="1"/>
    <col min="7" max="7" width="15.7265625" customWidth="1"/>
    <col min="8" max="8" width="19.7265625" customWidth="1"/>
    <col min="9" max="9" width="1.453125" customWidth="1"/>
    <col min="10" max="10" width="24.26953125" customWidth="1"/>
    <col min="11" max="11" width="22.26953125" bestFit="1" customWidth="1"/>
    <col min="12" max="12" width="20.26953125" bestFit="1" customWidth="1"/>
    <col min="13" max="13" width="16.269531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3" s="8" customFormat="1" ht="18">
      <c r="B6" s="5"/>
      <c r="C6" s="5"/>
      <c r="D6" s="5"/>
      <c r="E6" s="6" t="s">
        <v>0</v>
      </c>
      <c r="F6" s="7"/>
      <c r="G6" s="5"/>
      <c r="H6" s="5"/>
      <c r="I6" s="5"/>
      <c r="J6" s="5"/>
      <c r="K6" s="5"/>
    </row>
    <row r="7" spans="2:13">
      <c r="B7" s="1"/>
      <c r="C7" s="1"/>
      <c r="D7" s="1"/>
      <c r="E7" s="1"/>
      <c r="F7" s="2"/>
      <c r="G7" s="1"/>
      <c r="H7" s="1"/>
      <c r="I7" s="1"/>
      <c r="J7" s="1"/>
      <c r="K7" s="1"/>
    </row>
    <row r="8" spans="2:13">
      <c r="B8" s="1"/>
      <c r="C8" s="1"/>
      <c r="D8" s="1"/>
      <c r="E8" s="1"/>
      <c r="F8" s="2"/>
      <c r="G8" s="1"/>
      <c r="H8" s="1"/>
      <c r="I8" s="4"/>
      <c r="J8" s="1"/>
      <c r="K8" s="76"/>
    </row>
    <row r="9" spans="2:13">
      <c r="B9" s="1"/>
      <c r="C9" s="1"/>
      <c r="D9" s="1"/>
      <c r="E9" s="1"/>
      <c r="F9" s="2"/>
      <c r="G9" s="1"/>
      <c r="H9" s="1"/>
      <c r="I9" s="4"/>
      <c r="J9" s="1"/>
      <c r="K9" s="1"/>
    </row>
    <row r="10" spans="2:13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3" ht="15" thickBot="1">
      <c r="B11" s="1"/>
      <c r="C11" s="1"/>
      <c r="D11" s="1"/>
      <c r="E11" s="1"/>
      <c r="F11" s="2"/>
      <c r="G11" s="1"/>
      <c r="H11" s="1"/>
      <c r="I11" s="1"/>
      <c r="J11" s="1"/>
      <c r="K11" s="1"/>
    </row>
    <row r="12" spans="2:13" ht="18" thickBot="1">
      <c r="B12" s="331" t="s">
        <v>2</v>
      </c>
      <c r="C12" s="332"/>
      <c r="D12" s="332"/>
      <c r="E12" s="333"/>
      <c r="F12" s="12"/>
      <c r="G12" s="1"/>
      <c r="H12" s="1"/>
      <c r="I12" s="1"/>
      <c r="J12" s="1"/>
      <c r="K12" s="1"/>
      <c r="L12" s="13"/>
      <c r="M12" t="s">
        <v>20</v>
      </c>
    </row>
    <row r="13" spans="2:13" ht="18" thickBot="1">
      <c r="B13" s="1"/>
      <c r="C13" s="1"/>
      <c r="D13" s="1"/>
      <c r="E13" s="1"/>
      <c r="F13" s="123"/>
      <c r="G13" s="11"/>
      <c r="H13" s="11"/>
      <c r="I13" s="11"/>
      <c r="J13" s="15"/>
      <c r="K13" s="16"/>
      <c r="L13" s="13"/>
    </row>
    <row r="14" spans="2:13" ht="15" thickBot="1">
      <c r="B14" s="334" t="s">
        <v>3</v>
      </c>
      <c r="C14" s="335"/>
      <c r="D14" s="336"/>
      <c r="E14" s="17">
        <f>SUM(E15:E17)</f>
        <v>226815.11000000002</v>
      </c>
      <c r="F14" s="143"/>
      <c r="G14" s="331" t="s">
        <v>4</v>
      </c>
      <c r="H14" s="332"/>
      <c r="I14" s="332"/>
      <c r="J14" s="332"/>
      <c r="K14" s="333"/>
      <c r="L14" s="19"/>
    </row>
    <row r="15" spans="2:13">
      <c r="B15" s="337" t="s">
        <v>5</v>
      </c>
      <c r="C15" s="338"/>
      <c r="D15" s="339"/>
      <c r="E15" s="20">
        <f>J16+J17+J18+J19</f>
        <v>71013.7</v>
      </c>
      <c r="F15" s="108">
        <f>E15+E16+E17</f>
        <v>226815.11000000002</v>
      </c>
      <c r="G15" s="340" t="s">
        <v>6</v>
      </c>
      <c r="H15" s="341"/>
      <c r="I15" s="21"/>
      <c r="J15" s="342" t="s">
        <v>5</v>
      </c>
      <c r="K15" s="343"/>
      <c r="L15" s="13"/>
    </row>
    <row r="16" spans="2:13">
      <c r="B16" s="349" t="s">
        <v>7</v>
      </c>
      <c r="C16" s="350"/>
      <c r="D16" s="351"/>
      <c r="E16" s="20">
        <f>G21+G22</f>
        <v>23301.15</v>
      </c>
      <c r="F16" s="108">
        <v>90000</v>
      </c>
      <c r="G16" s="22">
        <v>10468.790000000001</v>
      </c>
      <c r="H16" s="23" t="s">
        <v>8</v>
      </c>
      <c r="I16" s="24"/>
      <c r="J16" s="25">
        <v>11939.62</v>
      </c>
      <c r="K16" s="26" t="s">
        <v>9</v>
      </c>
      <c r="L16" s="13"/>
    </row>
    <row r="17" spans="2:14">
      <c r="B17" s="352" t="s">
        <v>6</v>
      </c>
      <c r="C17" s="353"/>
      <c r="D17" s="354"/>
      <c r="E17" s="28">
        <f>G16+G17+G18</f>
        <v>132500.26</v>
      </c>
      <c r="F17" s="108">
        <f>F15-F16</f>
        <v>136815.11000000002</v>
      </c>
      <c r="G17" s="22">
        <v>61272.79</v>
      </c>
      <c r="H17" s="29" t="s">
        <v>10</v>
      </c>
      <c r="I17" s="30"/>
      <c r="J17" s="25">
        <v>13408.92</v>
      </c>
      <c r="K17" s="31" t="s">
        <v>10</v>
      </c>
      <c r="L17" s="13"/>
    </row>
    <row r="18" spans="2:14">
      <c r="B18" s="355" t="s">
        <v>11</v>
      </c>
      <c r="C18" s="356"/>
      <c r="D18" s="357"/>
      <c r="E18" s="20">
        <f>G28+G30+G29+G27</f>
        <v>5690.7699999999986</v>
      </c>
      <c r="F18" s="109"/>
      <c r="G18" s="22">
        <v>60758.68</v>
      </c>
      <c r="H18" s="29" t="s">
        <v>12</v>
      </c>
      <c r="I18" s="30"/>
      <c r="J18" s="25">
        <v>32465.9</v>
      </c>
      <c r="K18" s="31" t="s">
        <v>12</v>
      </c>
      <c r="L18" s="32"/>
    </row>
    <row r="19" spans="2:14">
      <c r="B19" s="344" t="s">
        <v>13</v>
      </c>
      <c r="C19" s="345"/>
      <c r="D19" s="346"/>
      <c r="E19" s="20">
        <v>13761792.390000001</v>
      </c>
      <c r="F19" s="108"/>
      <c r="G19" s="33"/>
      <c r="H19" s="34"/>
      <c r="I19" s="30"/>
      <c r="J19" s="25">
        <v>13199.26</v>
      </c>
      <c r="K19" s="31" t="s">
        <v>14</v>
      </c>
      <c r="L19" s="13"/>
    </row>
    <row r="20" spans="2:14">
      <c r="B20" s="358" t="s">
        <v>15</v>
      </c>
      <c r="C20" s="359"/>
      <c r="D20" s="360"/>
      <c r="E20" s="35">
        <f>SUM(E21:E23)</f>
        <v>99060.59</v>
      </c>
      <c r="F20" s="14"/>
      <c r="G20" s="361" t="s">
        <v>16</v>
      </c>
      <c r="H20" s="362"/>
      <c r="I20" s="36"/>
      <c r="J20" s="37"/>
      <c r="K20" s="38"/>
      <c r="L20" s="39"/>
    </row>
    <row r="21" spans="2:14">
      <c r="B21" s="40"/>
      <c r="C21" s="41"/>
      <c r="D21" s="122" t="s">
        <v>92</v>
      </c>
      <c r="E21" s="43">
        <v>14790</v>
      </c>
      <c r="F21" s="14"/>
      <c r="G21" s="44">
        <v>8871.76</v>
      </c>
      <c r="H21" s="29" t="s">
        <v>10</v>
      </c>
      <c r="I21" s="30"/>
      <c r="J21" s="37"/>
      <c r="K21" s="45"/>
      <c r="L21" s="39"/>
    </row>
    <row r="22" spans="2:14">
      <c r="B22" s="40"/>
      <c r="C22" s="41"/>
      <c r="D22" s="122" t="s">
        <v>93</v>
      </c>
      <c r="E22" s="43">
        <v>35407.199999999997</v>
      </c>
      <c r="F22" s="14"/>
      <c r="G22" s="44">
        <v>14429.39</v>
      </c>
      <c r="H22" s="29" t="s">
        <v>18</v>
      </c>
      <c r="I22" s="30"/>
      <c r="J22" s="50"/>
      <c r="K22" s="38"/>
      <c r="L22" s="39"/>
    </row>
    <row r="23" spans="2:14" ht="15" thickBot="1">
      <c r="B23" s="40"/>
      <c r="C23" s="41"/>
      <c r="D23" s="122" t="s">
        <v>94</v>
      </c>
      <c r="E23" s="43">
        <v>48863.39</v>
      </c>
      <c r="F23" s="14"/>
      <c r="G23" s="51"/>
      <c r="H23" s="34"/>
      <c r="I23" s="30"/>
      <c r="J23" s="52"/>
      <c r="K23" s="53"/>
      <c r="L23" s="39"/>
      <c r="N23" t="s">
        <v>20</v>
      </c>
    </row>
    <row r="24" spans="2:14" ht="15" thickBot="1">
      <c r="B24" s="46" t="s">
        <v>17</v>
      </c>
      <c r="C24" s="47"/>
      <c r="D24" s="48"/>
      <c r="E24" s="49">
        <f>758+2119.32+1692.4</f>
        <v>4569.72</v>
      </c>
      <c r="F24" s="8"/>
      <c r="G24" s="331" t="s">
        <v>21</v>
      </c>
      <c r="H24" s="332"/>
      <c r="I24" s="332"/>
      <c r="J24" s="332"/>
      <c r="K24" s="333"/>
      <c r="L24" s="39"/>
    </row>
    <row r="25" spans="2:14">
      <c r="B25" s="366" t="s">
        <v>89</v>
      </c>
      <c r="C25" s="367"/>
      <c r="D25" s="368"/>
      <c r="E25" s="49">
        <v>0</v>
      </c>
      <c r="F25" s="8"/>
      <c r="G25" s="54"/>
      <c r="H25" s="55"/>
      <c r="I25" s="56"/>
      <c r="J25" s="57"/>
      <c r="K25" s="58"/>
      <c r="L25" s="39"/>
    </row>
    <row r="26" spans="2:14">
      <c r="B26" s="344" t="s">
        <v>78</v>
      </c>
      <c r="C26" s="345"/>
      <c r="D26" s="346"/>
      <c r="E26" s="49">
        <v>0</v>
      </c>
      <c r="F26" s="8"/>
      <c r="G26" s="347" t="s">
        <v>5</v>
      </c>
      <c r="H26" s="348"/>
      <c r="I26" s="59"/>
      <c r="J26" s="60"/>
      <c r="K26" s="45"/>
      <c r="L26" s="61"/>
    </row>
    <row r="27" spans="2:14">
      <c r="B27" s="344" t="s">
        <v>22</v>
      </c>
      <c r="C27" s="345"/>
      <c r="D27" s="346"/>
      <c r="E27" s="49">
        <v>14649.2</v>
      </c>
      <c r="F27" s="14">
        <v>0</v>
      </c>
      <c r="G27" s="22">
        <f>11594.64-11500</f>
        <v>94.639999999999418</v>
      </c>
      <c r="H27" s="62" t="s">
        <v>9</v>
      </c>
      <c r="I27" s="59"/>
      <c r="J27" s="60"/>
      <c r="K27" s="45"/>
      <c r="L27" s="61"/>
    </row>
    <row r="28" spans="2:14">
      <c r="B28" s="344" t="s">
        <v>81</v>
      </c>
      <c r="C28" s="345"/>
      <c r="D28" s="346"/>
      <c r="E28" s="49">
        <v>0</v>
      </c>
      <c r="F28" s="14">
        <v>0</v>
      </c>
      <c r="G28" s="22">
        <v>2083.02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4">
      <c r="B29" s="344" t="s">
        <v>24</v>
      </c>
      <c r="C29" s="345"/>
      <c r="D29" s="346"/>
      <c r="E29" s="49">
        <v>0</v>
      </c>
      <c r="F29" s="14">
        <v>0</v>
      </c>
      <c r="G29" s="67">
        <v>1328.65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4" ht="15" thickBot="1">
      <c r="B30" s="344" t="s">
        <v>25</v>
      </c>
      <c r="C30" s="345"/>
      <c r="D30" s="346"/>
      <c r="E30" s="49">
        <v>0</v>
      </c>
      <c r="F30" s="14">
        <v>0</v>
      </c>
      <c r="G30" s="71">
        <v>2184.46</v>
      </c>
      <c r="H30" s="72" t="s">
        <v>12</v>
      </c>
      <c r="I30" s="73"/>
      <c r="J30" s="74" t="s">
        <v>32</v>
      </c>
      <c r="K30" s="75" t="s">
        <v>33</v>
      </c>
      <c r="L30" s="61"/>
    </row>
    <row r="31" spans="2:14" ht="15" thickBot="1">
      <c r="B31" s="363" t="s">
        <v>29</v>
      </c>
      <c r="C31" s="364"/>
      <c r="D31" s="365"/>
      <c r="E31" s="66">
        <v>0</v>
      </c>
      <c r="F31" s="124">
        <f>SUM(F27:F30)</f>
        <v>0</v>
      </c>
      <c r="G31" s="76"/>
      <c r="H31" s="76"/>
      <c r="I31" s="76"/>
      <c r="J31" s="76"/>
      <c r="K31" s="1"/>
      <c r="L31" s="77"/>
    </row>
    <row r="35" spans="5:7">
      <c r="E35" s="110" t="s">
        <v>86</v>
      </c>
      <c r="F35" s="110"/>
    </row>
    <row r="36" spans="5:7">
      <c r="E36" s="110"/>
      <c r="F36" s="86">
        <f>F17</f>
        <v>136815.11000000002</v>
      </c>
    </row>
    <row r="37" spans="5:7">
      <c r="E37" s="82" t="s">
        <v>34</v>
      </c>
      <c r="F37" s="86">
        <f>+F31</f>
        <v>0</v>
      </c>
    </row>
    <row r="38" spans="5:7" s="61" customFormat="1" ht="15" customHeight="1">
      <c r="E38" s="82" t="s">
        <v>35</v>
      </c>
      <c r="F38" s="86">
        <v>0</v>
      </c>
      <c r="G38" s="8"/>
    </row>
    <row r="39" spans="5:7" s="61" customFormat="1" ht="15" customHeight="1">
      <c r="E39" s="82" t="s">
        <v>36</v>
      </c>
      <c r="F39" s="86">
        <v>0</v>
      </c>
      <c r="G39" s="86"/>
    </row>
    <row r="40" spans="5:7" s="61" customFormat="1" ht="15" customHeight="1">
      <c r="E40" s="82" t="s">
        <v>37</v>
      </c>
      <c r="F40" s="111">
        <f>SUM(F36:F39)</f>
        <v>136815.11000000002</v>
      </c>
      <c r="G40" s="86"/>
    </row>
    <row r="41" spans="5:7" s="61" customFormat="1" ht="15" customHeight="1">
      <c r="E41" s="112" t="s">
        <v>38</v>
      </c>
      <c r="F41" s="94"/>
      <c r="G41" s="86"/>
    </row>
    <row r="42" spans="5:7" s="61" customFormat="1" ht="15" customHeight="1">
      <c r="E42" s="113"/>
      <c r="F42" s="94">
        <v>0</v>
      </c>
      <c r="G42" s="86"/>
    </row>
    <row r="43" spans="5:7" s="61" customFormat="1" ht="15" customHeight="1">
      <c r="E43" s="114" t="s">
        <v>65</v>
      </c>
      <c r="F43" s="94">
        <v>0</v>
      </c>
      <c r="G43" s="9"/>
    </row>
    <row r="44" spans="5:7" s="61" customFormat="1" ht="15" customHeight="1">
      <c r="E44" s="114" t="s">
        <v>82</v>
      </c>
      <c r="F44" s="94">
        <v>0</v>
      </c>
      <c r="G44" s="9"/>
    </row>
    <row r="45" spans="5:7" s="61" customFormat="1" ht="15" customHeight="1">
      <c r="E45" s="113" t="s">
        <v>67</v>
      </c>
      <c r="F45" s="94">
        <v>0</v>
      </c>
      <c r="G45" s="9"/>
    </row>
    <row r="46" spans="5:7" s="61" customFormat="1" ht="15" customHeight="1">
      <c r="E46" s="115" t="s">
        <v>68</v>
      </c>
      <c r="F46" s="117">
        <v>0</v>
      </c>
      <c r="G46" s="94">
        <v>810000</v>
      </c>
    </row>
    <row r="47" spans="5:7" s="61" customFormat="1" ht="15" customHeight="1">
      <c r="E47" s="116" t="s">
        <v>24</v>
      </c>
      <c r="F47" s="117">
        <v>2000</v>
      </c>
      <c r="G47" s="9"/>
    </row>
    <row r="48" spans="5:7" s="61" customFormat="1" ht="15" customHeight="1">
      <c r="E48" s="116" t="s">
        <v>39</v>
      </c>
      <c r="F48" s="117">
        <v>12000</v>
      </c>
      <c r="G48" s="9"/>
    </row>
    <row r="49" spans="5:7" s="61" customFormat="1" ht="15" customHeight="1">
      <c r="E49" s="116" t="s">
        <v>22</v>
      </c>
      <c r="F49" s="117">
        <v>0</v>
      </c>
      <c r="G49" s="9"/>
    </row>
    <row r="50" spans="5:7" s="61" customFormat="1" ht="15" customHeight="1">
      <c r="E50" s="116" t="s">
        <v>69</v>
      </c>
      <c r="F50" s="117">
        <v>480000</v>
      </c>
      <c r="G50" s="9"/>
    </row>
    <row r="51" spans="5:7" s="61" customFormat="1" ht="15" customHeight="1">
      <c r="E51" s="116" t="s">
        <v>81</v>
      </c>
      <c r="F51" s="117">
        <v>70000</v>
      </c>
      <c r="G51" s="9"/>
    </row>
    <row r="52" spans="5:7" s="61" customFormat="1" ht="15" customHeight="1">
      <c r="E52" s="116" t="s">
        <v>80</v>
      </c>
      <c r="F52" s="94">
        <v>100000</v>
      </c>
      <c r="G52" s="9"/>
    </row>
    <row r="53" spans="5:7" s="61" customFormat="1" ht="15" customHeight="1">
      <c r="E53" s="116" t="s">
        <v>40</v>
      </c>
      <c r="F53" s="119">
        <f>SUM(F42:F52)</f>
        <v>664000</v>
      </c>
      <c r="G53" s="82"/>
    </row>
    <row r="54" spans="5:7" s="61" customFormat="1" ht="15" customHeight="1">
      <c r="E54" s="118" t="s">
        <v>41</v>
      </c>
      <c r="F54" s="119">
        <f>F40-F53</f>
        <v>-527184.89</v>
      </c>
      <c r="G54" s="82"/>
    </row>
    <row r="55" spans="5:7" s="61" customFormat="1" ht="15" customHeight="1">
      <c r="E55" s="118" t="s">
        <v>42</v>
      </c>
      <c r="F55" s="82"/>
      <c r="G55" s="8"/>
    </row>
    <row r="56" spans="5:7" s="61" customFormat="1">
      <c r="E56" s="82"/>
      <c r="F56" s="80">
        <f>43800+180000</f>
        <v>223800</v>
      </c>
      <c r="G56" s="8"/>
    </row>
    <row r="57" spans="5:7" s="61" customFormat="1">
      <c r="E57" s="82" t="s">
        <v>43</v>
      </c>
      <c r="F57" s="80">
        <f>100000+350000</f>
        <v>450000</v>
      </c>
      <c r="G57" s="8"/>
    </row>
    <row r="58" spans="5:7" s="61" customFormat="1">
      <c r="E58" s="82" t="s">
        <v>44</v>
      </c>
      <c r="F58" s="117">
        <f>+E31</f>
        <v>0</v>
      </c>
      <c r="G58" s="8"/>
    </row>
    <row r="59" spans="5:7" s="61" customFormat="1">
      <c r="E59" s="82" t="s">
        <v>91</v>
      </c>
      <c r="F59" s="120">
        <f>SUM(F56:F58)</f>
        <v>673800</v>
      </c>
      <c r="G59" s="8"/>
    </row>
    <row r="60" spans="5:7" s="61" customFormat="1">
      <c r="E60" s="118" t="s">
        <v>46</v>
      </c>
      <c r="F60" s="82"/>
      <c r="G60" s="8"/>
    </row>
    <row r="61" spans="5:7" s="61" customFormat="1">
      <c r="E61" s="82"/>
      <c r="F61" s="121">
        <f>F54-F59</f>
        <v>-1200984.8900000001</v>
      </c>
      <c r="G61" s="8"/>
    </row>
    <row r="62" spans="5:7" s="61" customFormat="1">
      <c r="E62" s="118" t="s">
        <v>47</v>
      </c>
      <c r="G62" s="8"/>
    </row>
  </sheetData>
  <mergeCells count="22">
    <mergeCell ref="B29:D29"/>
    <mergeCell ref="B30:D30"/>
    <mergeCell ref="B31:D31"/>
    <mergeCell ref="B25:D25"/>
    <mergeCell ref="G24:K24"/>
    <mergeCell ref="B26:D26"/>
    <mergeCell ref="B27:D27"/>
    <mergeCell ref="G26:H26"/>
    <mergeCell ref="B28:D28"/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</mergeCells>
  <pageMargins left="0.7" right="0.7" top="0.75" bottom="0.75" header="0.3" footer="0.3"/>
  <ignoredErrors>
    <ignoredError sqref="E20" formulaRange="1"/>
  </ignoredErrors>
  <drawing r:id="rId1"/>
  <legacy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39904-FC50-4972-8B8C-2C21E05E1F9F}">
  <dimension ref="A6:P214"/>
  <sheetViews>
    <sheetView showGridLines="0" workbookViewId="0">
      <selection sqref="A1:XFD1048576"/>
    </sheetView>
  </sheetViews>
  <sheetFormatPr baseColWidth="10" defaultRowHeight="14.5"/>
  <cols>
    <col min="2" max="2" width="16.54296875" customWidth="1"/>
    <col min="4" max="4" width="22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41.54296875" bestFit="1" customWidth="1"/>
  </cols>
  <sheetData>
    <row r="6" spans="1:13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3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3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3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3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3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</row>
    <row r="12" spans="1:13" ht="19" thickBot="1">
      <c r="A12" s="1"/>
      <c r="B12" s="331" t="s">
        <v>2</v>
      </c>
      <c r="C12" s="332"/>
      <c r="D12" s="332"/>
      <c r="E12" s="333"/>
      <c r="F12" s="309"/>
      <c r="G12" s="296"/>
      <c r="H12" s="1"/>
      <c r="I12" s="1"/>
      <c r="J12" s="76"/>
      <c r="K12" s="1"/>
    </row>
    <row r="13" spans="1:13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M13" t="s">
        <v>20</v>
      </c>
    </row>
    <row r="14" spans="1:13" ht="18" thickBot="1">
      <c r="A14" s="11"/>
      <c r="B14" s="334" t="s">
        <v>3</v>
      </c>
      <c r="C14" s="335"/>
      <c r="D14" s="336"/>
      <c r="E14" s="17">
        <f>SUM(E15:E17)</f>
        <v>329245.31</v>
      </c>
      <c r="F14" s="310"/>
      <c r="G14" s="331" t="s">
        <v>4</v>
      </c>
      <c r="H14" s="332"/>
      <c r="I14" s="332"/>
      <c r="J14" s="332"/>
      <c r="K14" s="333"/>
      <c r="L14" s="13"/>
    </row>
    <row r="15" spans="1:13">
      <c r="A15" s="1"/>
      <c r="B15" s="337" t="s">
        <v>5</v>
      </c>
      <c r="C15" s="338"/>
      <c r="D15" s="339"/>
      <c r="E15" s="20">
        <f>J16+J17+J18+J19</f>
        <v>172470.06</v>
      </c>
      <c r="F15" s="153"/>
      <c r="G15" s="340" t="s">
        <v>6</v>
      </c>
      <c r="H15" s="341"/>
      <c r="I15" s="21"/>
      <c r="J15" s="342" t="s">
        <v>5</v>
      </c>
      <c r="K15" s="343"/>
      <c r="L15" s="13"/>
    </row>
    <row r="16" spans="1:13">
      <c r="A16" s="1"/>
      <c r="B16" s="349" t="s">
        <v>7</v>
      </c>
      <c r="C16" s="350"/>
      <c r="D16" s="351"/>
      <c r="E16" s="20">
        <f>G22+G23</f>
        <v>39193.21</v>
      </c>
      <c r="F16" s="153"/>
      <c r="G16" s="22">
        <v>18475.22</v>
      </c>
      <c r="H16" s="23" t="s">
        <v>8</v>
      </c>
      <c r="I16" s="24"/>
      <c r="J16" s="25">
        <v>13977.24</v>
      </c>
      <c r="K16" s="26" t="s">
        <v>9</v>
      </c>
      <c r="L16" s="19"/>
    </row>
    <row r="17" spans="1:16">
      <c r="A17" s="1"/>
      <c r="B17" s="352" t="s">
        <v>6</v>
      </c>
      <c r="C17" s="353"/>
      <c r="D17" s="354"/>
      <c r="E17" s="28">
        <f>G16+G17+G18</f>
        <v>117582.04000000001</v>
      </c>
      <c r="F17" s="153">
        <f>E15+E16+E17</f>
        <v>329245.31</v>
      </c>
      <c r="G17" s="22">
        <v>16743.52</v>
      </c>
      <c r="H17" s="29" t="s">
        <v>10</v>
      </c>
      <c r="I17" s="30"/>
      <c r="J17" s="25">
        <v>83379.070000000007</v>
      </c>
      <c r="K17" s="31" t="s">
        <v>10</v>
      </c>
      <c r="L17" s="13"/>
      <c r="M17" s="8"/>
    </row>
    <row r="18" spans="1:16">
      <c r="A18" s="1"/>
      <c r="B18" s="236" t="s">
        <v>187</v>
      </c>
      <c r="C18" s="237"/>
      <c r="D18" s="238"/>
      <c r="E18" s="28">
        <f>+J22</f>
        <v>20242.95</v>
      </c>
      <c r="F18" s="153">
        <v>90000</v>
      </c>
      <c r="G18" s="22">
        <v>82363.3</v>
      </c>
      <c r="H18" s="29" t="s">
        <v>12</v>
      </c>
      <c r="I18" s="30"/>
      <c r="J18" s="25">
        <v>20212.39</v>
      </c>
      <c r="K18" s="31" t="s">
        <v>12</v>
      </c>
      <c r="L18" s="13"/>
      <c r="M18" s="8"/>
    </row>
    <row r="19" spans="1:16">
      <c r="B19" s="379" t="s">
        <v>11</v>
      </c>
      <c r="C19" s="380"/>
      <c r="D19" s="381"/>
      <c r="E19" s="20">
        <f>G29+G31+G30+G28</f>
        <v>15150.76</v>
      </c>
      <c r="F19" s="153">
        <f>+F17-F18</f>
        <v>239245.31</v>
      </c>
      <c r="G19" s="33"/>
      <c r="H19" s="34"/>
      <c r="I19" s="30"/>
      <c r="J19" s="25">
        <v>54901.36</v>
      </c>
      <c r="K19" s="31" t="s">
        <v>14</v>
      </c>
      <c r="M19" s="8"/>
    </row>
    <row r="20" spans="1:16">
      <c r="B20" s="344" t="s">
        <v>13</v>
      </c>
      <c r="C20" s="345"/>
      <c r="D20" s="346"/>
      <c r="E20" s="20">
        <v>17627342.82</v>
      </c>
      <c r="F20" s="153"/>
      <c r="G20" s="239"/>
      <c r="H20" s="240"/>
      <c r="I20" s="30"/>
      <c r="J20" s="25"/>
      <c r="K20" s="31"/>
      <c r="L20" s="152"/>
      <c r="M20" s="8" t="s">
        <v>405</v>
      </c>
    </row>
    <row r="21" spans="1:16">
      <c r="B21" s="187" t="s">
        <v>15</v>
      </c>
      <c r="C21" s="188"/>
      <c r="D21" s="189"/>
      <c r="E21" s="190">
        <f>SUM(E22:E25)</f>
        <v>142826.13</v>
      </c>
      <c r="F21" s="153"/>
      <c r="G21" s="361" t="s">
        <v>16</v>
      </c>
      <c r="H21" s="362"/>
      <c r="I21" s="36"/>
      <c r="J21" s="241" t="s">
        <v>187</v>
      </c>
      <c r="K21" s="242"/>
      <c r="L21" s="294"/>
      <c r="M21" s="8"/>
    </row>
    <row r="22" spans="1:16" ht="15" customHeight="1">
      <c r="B22" s="303"/>
      <c r="C22" s="304"/>
      <c r="D22" s="308" t="s">
        <v>406</v>
      </c>
      <c r="E22" s="190">
        <v>5291.98</v>
      </c>
      <c r="F22" s="153"/>
      <c r="G22" s="44">
        <v>14444.64</v>
      </c>
      <c r="H22" s="29" t="s">
        <v>10</v>
      </c>
      <c r="I22" s="30"/>
      <c r="J22" s="25">
        <v>20242.95</v>
      </c>
      <c r="K22" s="31" t="s">
        <v>188</v>
      </c>
      <c r="L22" s="294"/>
      <c r="M22" s="8"/>
    </row>
    <row r="23" spans="1:16" ht="15" customHeight="1">
      <c r="B23" s="301"/>
      <c r="C23" s="302"/>
      <c r="D23" s="308" t="s">
        <v>90</v>
      </c>
      <c r="E23" s="190">
        <v>35440.39</v>
      </c>
      <c r="F23" s="153"/>
      <c r="G23" s="44">
        <v>24748.57</v>
      </c>
      <c r="H23" s="29" t="s">
        <v>18</v>
      </c>
      <c r="I23" s="30"/>
      <c r="J23" s="25"/>
      <c r="K23" s="31"/>
      <c r="L23" s="294"/>
      <c r="M23" s="8"/>
    </row>
    <row r="24" spans="1:16" ht="15" thickBot="1">
      <c r="B24" s="187"/>
      <c r="C24" s="188"/>
      <c r="D24" s="198" t="s">
        <v>407</v>
      </c>
      <c r="E24" s="190">
        <v>9570</v>
      </c>
      <c r="F24" s="153"/>
      <c r="G24" s="51"/>
      <c r="H24" s="34"/>
      <c r="I24" s="30"/>
      <c r="J24" s="210"/>
      <c r="K24" s="53"/>
      <c r="L24" s="294"/>
      <c r="M24" s="235"/>
    </row>
    <row r="25" spans="1:16" ht="15" thickBot="1">
      <c r="B25" s="187"/>
      <c r="C25" s="188"/>
      <c r="D25" s="198" t="s">
        <v>93</v>
      </c>
      <c r="E25" s="190">
        <v>92523.76</v>
      </c>
      <c r="F25" s="153"/>
      <c r="G25" s="331" t="s">
        <v>21</v>
      </c>
      <c r="H25" s="332"/>
      <c r="I25" s="332"/>
      <c r="J25" s="332"/>
      <c r="K25" s="333"/>
    </row>
    <row r="26" spans="1:16">
      <c r="B26" s="202" t="s">
        <v>17</v>
      </c>
      <c r="C26" s="203"/>
      <c r="D26" s="204"/>
      <c r="E26" s="234">
        <v>0</v>
      </c>
      <c r="F26" s="220"/>
      <c r="G26" s="54"/>
      <c r="H26" s="55"/>
      <c r="I26" s="56"/>
      <c r="J26" s="211"/>
      <c r="K26" s="58"/>
    </row>
    <row r="27" spans="1:16">
      <c r="B27" s="202" t="s">
        <v>163</v>
      </c>
      <c r="C27" s="203"/>
      <c r="D27" s="204"/>
      <c r="E27" s="234">
        <v>55000</v>
      </c>
      <c r="F27" s="153">
        <f>+F19</f>
        <v>239245.31</v>
      </c>
      <c r="G27" s="377" t="s">
        <v>5</v>
      </c>
      <c r="H27" s="378"/>
      <c r="I27" s="59"/>
      <c r="J27" s="60"/>
      <c r="K27" s="45"/>
      <c r="O27" s="155"/>
      <c r="P27" s="155"/>
    </row>
    <row r="28" spans="1:16">
      <c r="B28" s="199" t="s">
        <v>22</v>
      </c>
      <c r="C28" s="200"/>
      <c r="D28" s="201"/>
      <c r="E28" s="234">
        <v>168</v>
      </c>
      <c r="F28" s="288">
        <f>SUM(E26:E32)</f>
        <v>209032</v>
      </c>
      <c r="G28" s="22">
        <v>4204.16</v>
      </c>
      <c r="H28" s="62" t="s">
        <v>9</v>
      </c>
      <c r="I28" s="59"/>
      <c r="J28" s="60"/>
      <c r="K28" s="45"/>
      <c r="N28" s="155"/>
      <c r="P28" s="155"/>
    </row>
    <row r="29" spans="1:16">
      <c r="B29" s="199" t="s">
        <v>64</v>
      </c>
      <c r="C29" s="200"/>
      <c r="D29" s="201"/>
      <c r="E29" s="234">
        <v>153864</v>
      </c>
      <c r="F29" s="153">
        <f>+F27-F28</f>
        <v>30213.309999999998</v>
      </c>
      <c r="G29" s="22">
        <v>1711.93</v>
      </c>
      <c r="H29" s="62" t="s">
        <v>26</v>
      </c>
      <c r="I29" s="63"/>
      <c r="J29" s="64" t="s">
        <v>27</v>
      </c>
      <c r="K29" s="65" t="s">
        <v>28</v>
      </c>
    </row>
    <row r="30" spans="1:16">
      <c r="B30" s="199" t="s">
        <v>52</v>
      </c>
      <c r="C30" s="200"/>
      <c r="D30" s="201"/>
      <c r="E30" s="49">
        <v>0</v>
      </c>
      <c r="F30" s="221"/>
      <c r="G30" s="67">
        <v>1917.42</v>
      </c>
      <c r="H30" s="68" t="s">
        <v>14</v>
      </c>
      <c r="I30" s="63"/>
      <c r="J30" s="64" t="s">
        <v>30</v>
      </c>
      <c r="K30" s="65" t="s">
        <v>31</v>
      </c>
      <c r="N30" s="155"/>
      <c r="P30" s="155"/>
    </row>
    <row r="31" spans="1:16" ht="15" thickBot="1">
      <c r="B31" s="344" t="s">
        <v>69</v>
      </c>
      <c r="C31" s="345"/>
      <c r="D31" s="346"/>
      <c r="E31" s="234">
        <v>0</v>
      </c>
      <c r="F31" s="220"/>
      <c r="G31" s="71">
        <v>7317.25</v>
      </c>
      <c r="H31" s="72" t="s">
        <v>12</v>
      </c>
      <c r="I31" s="73"/>
      <c r="J31" s="74" t="s">
        <v>32</v>
      </c>
      <c r="K31" s="75" t="s">
        <v>33</v>
      </c>
    </row>
    <row r="32" spans="1:16" ht="15" thickBot="1">
      <c r="B32" s="363" t="s">
        <v>29</v>
      </c>
      <c r="C32" s="364"/>
      <c r="D32" s="365"/>
      <c r="E32" s="66">
        <v>0</v>
      </c>
      <c r="F32" s="220"/>
      <c r="N32" s="155"/>
      <c r="P32" s="155"/>
    </row>
    <row r="33" spans="2:16">
      <c r="E33" s="61"/>
      <c r="F33" s="220"/>
    </row>
    <row r="34" spans="2:16">
      <c r="E34" s="61"/>
      <c r="F34" s="220"/>
      <c r="H34" s="61"/>
      <c r="I34" s="61"/>
      <c r="J34" s="39"/>
      <c r="K34" s="61"/>
      <c r="N34" s="155"/>
      <c r="P34" s="155"/>
    </row>
    <row r="35" spans="2:16">
      <c r="E35" s="61"/>
      <c r="F35" s="220"/>
      <c r="G35" s="8"/>
      <c r="H35" s="61"/>
      <c r="I35" s="61"/>
      <c r="J35" s="39"/>
      <c r="K35" s="61"/>
    </row>
    <row r="36" spans="2:16">
      <c r="E36" s="8"/>
      <c r="F36" s="220"/>
      <c r="G36" s="8"/>
      <c r="H36" s="13"/>
      <c r="I36" s="61"/>
      <c r="J36" s="13"/>
      <c r="K36" s="83"/>
      <c r="L36" s="61"/>
      <c r="N36" s="155"/>
      <c r="P36" s="155"/>
    </row>
    <row r="37" spans="2:16">
      <c r="B37" s="61"/>
      <c r="C37" s="61"/>
      <c r="D37" s="61"/>
      <c r="E37" s="110" t="s">
        <v>404</v>
      </c>
      <c r="F37" s="299"/>
      <c r="G37" s="181"/>
      <c r="H37" s="161"/>
      <c r="I37" s="197"/>
      <c r="J37" s="13"/>
      <c r="K37" s="83"/>
      <c r="L37" s="61"/>
    </row>
    <row r="38" spans="2:16" s="61" customFormat="1" ht="15" customHeight="1">
      <c r="E38" s="110"/>
      <c r="F38" s="299"/>
      <c r="G38" s="86"/>
      <c r="I38" s="197"/>
      <c r="J38" s="13"/>
      <c r="K38" s="83"/>
      <c r="L38" s="88"/>
      <c r="N38" s="273"/>
      <c r="P38" s="273"/>
    </row>
    <row r="39" spans="2:16" s="61" customFormat="1" ht="15" customHeight="1">
      <c r="E39" s="82" t="s">
        <v>34</v>
      </c>
      <c r="F39" s="299">
        <f>F19</f>
        <v>239245.31</v>
      </c>
      <c r="G39" s="86"/>
      <c r="H39" s="161"/>
      <c r="I39" s="197"/>
      <c r="J39" s="13"/>
      <c r="K39" s="85"/>
      <c r="L39" s="161"/>
    </row>
    <row r="40" spans="2:16" s="61" customFormat="1" ht="15" customHeight="1">
      <c r="E40" s="82" t="s">
        <v>35</v>
      </c>
      <c r="F40" s="299">
        <f>+E19</f>
        <v>15150.76</v>
      </c>
      <c r="G40" s="86"/>
      <c r="I40" s="214"/>
      <c r="J40" s="13"/>
      <c r="K40" s="87"/>
      <c r="L40" s="161"/>
      <c r="N40" s="273"/>
      <c r="P40" s="273"/>
    </row>
    <row r="41" spans="2:16" s="61" customFormat="1" ht="15" customHeight="1">
      <c r="E41" s="82" t="s">
        <v>36</v>
      </c>
      <c r="F41" s="299">
        <v>0</v>
      </c>
      <c r="G41" s="9"/>
      <c r="I41" s="197"/>
      <c r="J41" s="13"/>
    </row>
    <row r="42" spans="2:16" s="61" customFormat="1" ht="15" customHeight="1">
      <c r="E42" s="82" t="s">
        <v>37</v>
      </c>
      <c r="F42" s="299">
        <v>0</v>
      </c>
      <c r="G42" s="9"/>
      <c r="I42" s="197"/>
      <c r="J42" s="13"/>
      <c r="N42" s="273"/>
      <c r="P42" s="273"/>
    </row>
    <row r="43" spans="2:16" s="61" customFormat="1" ht="15" customHeight="1">
      <c r="E43" s="112" t="s">
        <v>38</v>
      </c>
      <c r="F43" s="225">
        <f>SUM(F39:F42)</f>
        <v>254396.07</v>
      </c>
      <c r="G43" s="9"/>
      <c r="H43" s="163"/>
      <c r="I43" s="229"/>
      <c r="J43" s="13"/>
    </row>
    <row r="44" spans="2:16" s="61" customFormat="1" ht="15" customHeight="1">
      <c r="E44" s="113"/>
      <c r="F44" s="226"/>
      <c r="G44" s="9"/>
      <c r="H44" s="165"/>
      <c r="I44" s="230"/>
      <c r="J44" s="13"/>
      <c r="N44" s="273"/>
      <c r="P44" s="273"/>
    </row>
    <row r="45" spans="2:16" s="61" customFormat="1" ht="15" customHeight="1">
      <c r="E45" s="113" t="s">
        <v>152</v>
      </c>
      <c r="F45" s="226">
        <v>270000</v>
      </c>
      <c r="G45" s="9"/>
      <c r="H45" s="165"/>
      <c r="I45" s="230"/>
      <c r="J45" s="13"/>
      <c r="N45" s="273"/>
      <c r="P45" s="273"/>
    </row>
    <row r="46" spans="2:16" s="61" customFormat="1" ht="15" customHeight="1">
      <c r="E46" s="113" t="s">
        <v>78</v>
      </c>
      <c r="F46" s="226">
        <v>115000</v>
      </c>
      <c r="G46" s="9"/>
      <c r="H46" s="165"/>
      <c r="I46" s="230"/>
      <c r="J46" s="13"/>
      <c r="N46" s="273"/>
      <c r="P46" s="273"/>
    </row>
    <row r="47" spans="2:16" s="61" customFormat="1" ht="15" customHeight="1">
      <c r="E47" s="113" t="s">
        <v>178</v>
      </c>
      <c r="F47" s="226">
        <v>1300000</v>
      </c>
      <c r="G47" s="9"/>
      <c r="H47" s="165"/>
      <c r="I47" s="230"/>
      <c r="J47" s="13"/>
      <c r="N47" s="273"/>
      <c r="P47" s="273"/>
    </row>
    <row r="48" spans="2:16" s="61" customFormat="1" ht="15" customHeight="1">
      <c r="E48" s="113" t="s">
        <v>180</v>
      </c>
      <c r="F48" s="226">
        <v>55000</v>
      </c>
      <c r="G48" s="9"/>
      <c r="H48" s="165"/>
      <c r="I48" s="230"/>
      <c r="J48" s="13"/>
      <c r="N48" s="273"/>
      <c r="P48" s="273"/>
    </row>
    <row r="49" spans="2:16" s="61" customFormat="1" ht="15" customHeight="1">
      <c r="E49" s="113" t="s">
        <v>64</v>
      </c>
      <c r="F49" s="226">
        <v>155000</v>
      </c>
      <c r="G49" s="9"/>
      <c r="H49" s="165"/>
      <c r="I49" s="230"/>
      <c r="J49" s="13"/>
      <c r="N49" s="273"/>
      <c r="P49" s="273"/>
    </row>
    <row r="50" spans="2:16" s="61" customFormat="1" ht="15" customHeight="1">
      <c r="E50" s="113" t="s">
        <v>69</v>
      </c>
      <c r="F50" s="226">
        <v>60000</v>
      </c>
      <c r="G50" s="9"/>
      <c r="H50" s="165"/>
      <c r="I50" s="230"/>
      <c r="J50" s="13"/>
      <c r="N50" s="273"/>
      <c r="P50" s="273"/>
    </row>
    <row r="51" spans="2:16" s="61" customFormat="1" ht="15" customHeight="1">
      <c r="E51" s="116" t="s">
        <v>24</v>
      </c>
      <c r="F51" s="221">
        <f>15000+65000+220000+18000</f>
        <v>318000</v>
      </c>
      <c r="G51" s="8"/>
      <c r="H51" s="91"/>
      <c r="I51" s="231"/>
      <c r="J51" s="13"/>
    </row>
    <row r="52" spans="2:16" s="61" customFormat="1" ht="15" customHeight="1">
      <c r="E52" s="116" t="s">
        <v>22</v>
      </c>
      <c r="F52" s="221">
        <v>35000</v>
      </c>
      <c r="G52" s="8"/>
      <c r="H52" s="96"/>
      <c r="I52" s="231"/>
      <c r="J52" s="262"/>
    </row>
    <row r="53" spans="2:16" s="61" customFormat="1">
      <c r="E53" s="116" t="s">
        <v>40</v>
      </c>
      <c r="F53" s="226">
        <f>200000-20000</f>
        <v>180000</v>
      </c>
      <c r="G53" s="82"/>
      <c r="H53" s="83"/>
      <c r="I53" s="228"/>
      <c r="J53" s="13"/>
    </row>
    <row r="54" spans="2:16" s="61" customFormat="1">
      <c r="E54" s="118" t="s">
        <v>41</v>
      </c>
      <c r="F54" s="225">
        <f>SUM(F45:F53)</f>
        <v>2488000</v>
      </c>
      <c r="G54" s="82"/>
      <c r="H54" s="83"/>
      <c r="I54" s="233"/>
      <c r="J54" s="13"/>
    </row>
    <row r="55" spans="2:16" s="61" customFormat="1">
      <c r="E55" s="118" t="s">
        <v>42</v>
      </c>
      <c r="F55" s="225">
        <f>F43-F54</f>
        <v>-2233603.9300000002</v>
      </c>
      <c r="G55" s="82"/>
      <c r="H55" s="83"/>
      <c r="I55" s="233"/>
      <c r="J55" s="13"/>
    </row>
    <row r="56" spans="2:16" s="61" customFormat="1">
      <c r="E56" s="82"/>
      <c r="F56" s="80"/>
      <c r="G56" s="82"/>
      <c r="H56" s="83"/>
      <c r="I56" s="233"/>
      <c r="J56" s="13"/>
      <c r="L56" s="91"/>
    </row>
    <row r="57" spans="2:16" s="61" customFormat="1">
      <c r="E57" s="82" t="s">
        <v>43</v>
      </c>
      <c r="F57" s="80">
        <v>0</v>
      </c>
      <c r="G57" s="82"/>
      <c r="H57" s="96"/>
      <c r="I57" s="228"/>
      <c r="J57" s="13"/>
      <c r="L57" s="91"/>
    </row>
    <row r="58" spans="2:16" s="61" customFormat="1">
      <c r="E58" s="82" t="s">
        <v>44</v>
      </c>
      <c r="F58" s="80">
        <f>170000</f>
        <v>170000</v>
      </c>
      <c r="G58" s="82"/>
      <c r="H58" s="96"/>
      <c r="I58" s="228"/>
      <c r="J58" s="13"/>
      <c r="L58" s="91"/>
    </row>
    <row r="59" spans="2:16" s="61" customFormat="1">
      <c r="E59" s="82" t="s">
        <v>386</v>
      </c>
      <c r="F59" s="80">
        <v>3866.8</v>
      </c>
      <c r="G59" s="82"/>
      <c r="H59" s="83"/>
      <c r="I59" s="233"/>
      <c r="J59" s="13"/>
      <c r="L59" s="96"/>
    </row>
    <row r="60" spans="2:16" s="61" customFormat="1">
      <c r="E60" s="82" t="s">
        <v>45</v>
      </c>
      <c r="F60" s="117">
        <v>993098.58</v>
      </c>
      <c r="G60" s="8"/>
      <c r="H60" s="96"/>
      <c r="I60" s="219"/>
      <c r="J60" s="13"/>
      <c r="L60" s="96"/>
    </row>
    <row r="61" spans="2:16" s="61" customFormat="1">
      <c r="E61" s="82" t="s">
        <v>205</v>
      </c>
      <c r="F61" s="117">
        <v>493599.67</v>
      </c>
      <c r="G61" s="8"/>
      <c r="J61" s="13"/>
    </row>
    <row r="62" spans="2:16" s="61" customFormat="1">
      <c r="B62"/>
      <c r="C62"/>
      <c r="D62"/>
      <c r="E62" s="82" t="s">
        <v>206</v>
      </c>
      <c r="F62" s="117">
        <v>0</v>
      </c>
      <c r="G62" s="8"/>
      <c r="J62" s="13"/>
      <c r="L62" s="83"/>
    </row>
    <row r="63" spans="2:16">
      <c r="E63" s="118" t="s">
        <v>46</v>
      </c>
      <c r="F63" s="120">
        <f>SUM(F57:F62)</f>
        <v>1660565.0499999998</v>
      </c>
      <c r="G63" s="8"/>
      <c r="L63" s="61"/>
    </row>
    <row r="64" spans="2:16">
      <c r="E64" s="82"/>
      <c r="F64" s="80"/>
      <c r="G64" s="8"/>
      <c r="L64" s="61"/>
    </row>
    <row r="65" spans="1:7">
      <c r="E65" s="118" t="s">
        <v>47</v>
      </c>
      <c r="F65" s="120">
        <f>F55-F63</f>
        <v>-3894168.98</v>
      </c>
      <c r="G65" s="8"/>
    </row>
    <row r="66" spans="1:7">
      <c r="D66" s="247" t="s">
        <v>192</v>
      </c>
      <c r="E66" s="8"/>
      <c r="F66" s="220"/>
      <c r="G66" s="8"/>
    </row>
    <row r="67" spans="1:7">
      <c r="D67" s="247" t="s">
        <v>194</v>
      </c>
      <c r="E67" s="8"/>
      <c r="F67" s="220"/>
      <c r="G67" s="8"/>
    </row>
    <row r="68" spans="1:7">
      <c r="D68" s="8" t="s">
        <v>9</v>
      </c>
      <c r="E68" s="8"/>
      <c r="F68" s="220"/>
      <c r="G68" s="124">
        <f>SUM(E76:F76)</f>
        <v>0</v>
      </c>
    </row>
    <row r="69" spans="1:7">
      <c r="D69" s="8" t="s">
        <v>195</v>
      </c>
      <c r="E69" s="8"/>
      <c r="F69" s="219"/>
      <c r="G69" s="8"/>
    </row>
    <row r="70" spans="1:7">
      <c r="D70" s="8" t="s">
        <v>188</v>
      </c>
      <c r="E70" s="243"/>
      <c r="F70" s="243"/>
      <c r="G70" s="8"/>
    </row>
    <row r="71" spans="1:7">
      <c r="D71" s="8"/>
      <c r="E71" s="243"/>
      <c r="F71" s="244"/>
    </row>
    <row r="72" spans="1:7">
      <c r="E72" s="245"/>
      <c r="F72" s="246"/>
    </row>
    <row r="73" spans="1:7">
      <c r="E73" s="245"/>
      <c r="F73" s="246"/>
    </row>
    <row r="74" spans="1:7">
      <c r="E74" s="249"/>
      <c r="F74" s="287"/>
    </row>
    <row r="75" spans="1:7">
      <c r="E75" s="124"/>
      <c r="F75" s="287"/>
    </row>
    <row r="76" spans="1:7">
      <c r="E76" s="8"/>
    </row>
    <row r="77" spans="1:7">
      <c r="E77" s="8"/>
    </row>
    <row r="78" spans="1:7">
      <c r="A78" s="268"/>
      <c r="E78" s="8"/>
    </row>
    <row r="79" spans="1:7">
      <c r="E79" s="8"/>
    </row>
    <row r="80" spans="1:7">
      <c r="B80" s="235"/>
      <c r="E80" s="8"/>
    </row>
    <row r="81" spans="1:5">
      <c r="E81" s="8"/>
    </row>
    <row r="82" spans="1:5"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93"/>
    </row>
    <row r="111" spans="1:5">
      <c r="C111" s="155"/>
      <c r="E111" s="8"/>
    </row>
    <row r="112" spans="1:5">
      <c r="A112" s="269"/>
      <c r="E112" s="293"/>
    </row>
    <row r="113" spans="1:5">
      <c r="C113" s="155"/>
      <c r="E113" s="8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  <c r="E123" s="79"/>
    </row>
    <row r="124" spans="1:5">
      <c r="A124" s="269"/>
      <c r="E124" s="277"/>
    </row>
    <row r="125" spans="1:5">
      <c r="C125" s="155"/>
      <c r="E125" s="79"/>
    </row>
    <row r="126" spans="1:5">
      <c r="A126" s="269"/>
      <c r="E126" s="277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C199" s="155"/>
    </row>
    <row r="200" spans="1:5">
      <c r="A200" s="269"/>
      <c r="E200" s="155"/>
    </row>
    <row r="201" spans="1:5">
      <c r="C201" s="155"/>
    </row>
    <row r="202" spans="1:5">
      <c r="A202" s="269"/>
      <c r="E202" s="155"/>
    </row>
    <row r="203" spans="1:5">
      <c r="D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5">
      <c r="C209" s="155"/>
    </row>
    <row r="210" spans="1:5">
      <c r="A210" s="269"/>
      <c r="E210" s="155"/>
    </row>
    <row r="211" spans="1:5">
      <c r="C211" s="155"/>
    </row>
    <row r="212" spans="1:5">
      <c r="A212" s="269"/>
      <c r="E212" s="155"/>
    </row>
    <row r="213" spans="1:5">
      <c r="C213" s="155"/>
    </row>
    <row r="214" spans="1:5">
      <c r="A214" s="269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CEBEC-CF78-471B-BC62-314F47EE3D9A}">
  <dimension ref="A6:Q214"/>
  <sheetViews>
    <sheetView showGridLines="0" workbookViewId="0">
      <selection sqref="A1:XFD1048576"/>
    </sheetView>
  </sheetViews>
  <sheetFormatPr baseColWidth="10" defaultRowHeight="14.5"/>
  <cols>
    <col min="2" max="2" width="16.54296875" customWidth="1"/>
    <col min="4" max="4" width="22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style="61" bestFit="1" customWidth="1"/>
    <col min="13" max="13" width="14" style="61" customWidth="1"/>
    <col min="15" max="15" width="4.26953125" customWidth="1"/>
    <col min="16" max="16" width="24.7265625" bestFit="1" customWidth="1"/>
  </cols>
  <sheetData>
    <row r="6" spans="1:17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  <c r="L6" s="61"/>
      <c r="M6" s="61"/>
    </row>
    <row r="7" spans="1:17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s="61" t="s">
        <v>20</v>
      </c>
    </row>
    <row r="8" spans="1:17" ht="15" thickBot="1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7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  <c r="O9" s="312"/>
      <c r="P9" s="313" t="s">
        <v>408</v>
      </c>
      <c r="Q9" s="314">
        <v>124745.31</v>
      </c>
    </row>
    <row r="10" spans="1:17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  <c r="O10" s="315" t="s">
        <v>411</v>
      </c>
      <c r="P10" s="61" t="s">
        <v>409</v>
      </c>
      <c r="Q10" s="316">
        <v>90000</v>
      </c>
    </row>
    <row r="11" spans="1:17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  <c r="O11" s="315" t="s">
        <v>412</v>
      </c>
      <c r="P11" s="61" t="s">
        <v>410</v>
      </c>
      <c r="Q11" s="317">
        <f>+Q9-Q10</f>
        <v>34745.31</v>
      </c>
    </row>
    <row r="12" spans="1:17" ht="19" thickBot="1">
      <c r="A12" s="1"/>
      <c r="B12" s="331" t="s">
        <v>2</v>
      </c>
      <c r="C12" s="332"/>
      <c r="D12" s="332"/>
      <c r="E12" s="333"/>
      <c r="F12" s="309"/>
      <c r="G12" s="296"/>
      <c r="H12" s="1"/>
      <c r="I12" s="1"/>
      <c r="J12" s="76"/>
      <c r="K12" s="1"/>
      <c r="O12" s="315" t="s">
        <v>411</v>
      </c>
      <c r="P12" s="61" t="s">
        <v>413</v>
      </c>
      <c r="Q12" s="318">
        <v>63478.559999999998</v>
      </c>
    </row>
    <row r="13" spans="1:17" ht="19.5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  <c r="M13" s="61" t="s">
        <v>20</v>
      </c>
      <c r="O13" s="319" t="s">
        <v>412</v>
      </c>
      <c r="P13" s="320" t="s">
        <v>414</v>
      </c>
      <c r="Q13" s="321">
        <f>+Q11-Q12</f>
        <v>-28733.25</v>
      </c>
    </row>
    <row r="14" spans="1:17" ht="18" thickBot="1">
      <c r="A14" s="11"/>
      <c r="B14" s="334" t="s">
        <v>3</v>
      </c>
      <c r="C14" s="335"/>
      <c r="D14" s="336"/>
      <c r="E14" s="17">
        <f>SUM(E15:E17)</f>
        <v>124745.30999999998</v>
      </c>
      <c r="F14" s="217"/>
      <c r="G14" s="331" t="s">
        <v>4</v>
      </c>
      <c r="H14" s="332"/>
      <c r="I14" s="332"/>
      <c r="J14" s="332"/>
      <c r="K14" s="333"/>
      <c r="L14" s="13"/>
    </row>
    <row r="15" spans="1:17" ht="15" thickBot="1">
      <c r="A15" s="1"/>
      <c r="B15" s="337" t="s">
        <v>5</v>
      </c>
      <c r="C15" s="338"/>
      <c r="D15" s="339"/>
      <c r="E15" s="20">
        <f>J16+J17+J18+J19</f>
        <v>50403.459999999992</v>
      </c>
      <c r="F15" s="150"/>
      <c r="G15" s="340" t="s">
        <v>6</v>
      </c>
      <c r="H15" s="341"/>
      <c r="I15" s="21"/>
      <c r="J15" s="342" t="s">
        <v>5</v>
      </c>
      <c r="K15" s="343"/>
      <c r="L15" s="13"/>
    </row>
    <row r="16" spans="1:17">
      <c r="A16" s="1"/>
      <c r="B16" s="349" t="s">
        <v>7</v>
      </c>
      <c r="C16" s="350"/>
      <c r="D16" s="351"/>
      <c r="E16" s="20">
        <f>G22+G23</f>
        <v>39193.21</v>
      </c>
      <c r="F16" s="150"/>
      <c r="G16" s="22">
        <v>13475.22</v>
      </c>
      <c r="H16" s="23" t="s">
        <v>8</v>
      </c>
      <c r="I16" s="24"/>
      <c r="J16" s="25">
        <v>12407.24</v>
      </c>
      <c r="K16" s="26" t="s">
        <v>9</v>
      </c>
      <c r="L16" s="19"/>
      <c r="O16" s="312"/>
      <c r="P16" s="313" t="s">
        <v>408</v>
      </c>
      <c r="Q16" s="314">
        <v>124745.31</v>
      </c>
    </row>
    <row r="17" spans="1:17">
      <c r="A17" s="1"/>
      <c r="B17" s="352" t="s">
        <v>6</v>
      </c>
      <c r="C17" s="353"/>
      <c r="D17" s="354"/>
      <c r="E17" s="28">
        <f>G16+G17+G18</f>
        <v>35148.639999999999</v>
      </c>
      <c r="F17" s="150">
        <f>E15+E16+E17</f>
        <v>124745.30999999998</v>
      </c>
      <c r="G17" s="22">
        <v>11384.12</v>
      </c>
      <c r="H17" s="29" t="s">
        <v>10</v>
      </c>
      <c r="I17" s="30"/>
      <c r="J17" s="25">
        <f>122565.3-110862.63</f>
        <v>11702.669999999998</v>
      </c>
      <c r="K17" s="31" t="s">
        <v>10</v>
      </c>
      <c r="L17" s="13"/>
      <c r="O17" s="315" t="s">
        <v>411</v>
      </c>
      <c r="P17" s="61" t="s">
        <v>415</v>
      </c>
      <c r="Q17" s="316">
        <v>180000</v>
      </c>
    </row>
    <row r="18" spans="1:17" ht="16">
      <c r="A18" s="1"/>
      <c r="B18" s="236" t="s">
        <v>187</v>
      </c>
      <c r="C18" s="237"/>
      <c r="D18" s="238"/>
      <c r="E18" s="28">
        <f>+J22</f>
        <v>20242.95</v>
      </c>
      <c r="F18" s="150">
        <v>90000</v>
      </c>
      <c r="G18" s="22">
        <f>30289.3-20000</f>
        <v>10289.299999999999</v>
      </c>
      <c r="H18" s="29" t="s">
        <v>12</v>
      </c>
      <c r="I18" s="30"/>
      <c r="J18" s="25">
        <v>11069.39</v>
      </c>
      <c r="K18" s="31" t="s">
        <v>12</v>
      </c>
      <c r="L18" s="13"/>
      <c r="M18" s="8"/>
      <c r="O18" s="315" t="s">
        <v>412</v>
      </c>
      <c r="P18" s="61" t="s">
        <v>410</v>
      </c>
      <c r="Q18" s="317">
        <f>+Q16-Q17</f>
        <v>-55254.69</v>
      </c>
    </row>
    <row r="19" spans="1:17">
      <c r="B19" s="379" t="s">
        <v>11</v>
      </c>
      <c r="C19" s="380"/>
      <c r="D19" s="381"/>
      <c r="E19" s="20">
        <f>G29+G31+G30+G28</f>
        <v>15151.28</v>
      </c>
      <c r="F19" s="150">
        <f>+F17-F18</f>
        <v>34745.309999999983</v>
      </c>
      <c r="G19" s="33"/>
      <c r="H19" s="34"/>
      <c r="I19" s="30"/>
      <c r="J19" s="25">
        <f>20000+27431.56-32207.4</f>
        <v>15224.159999999996</v>
      </c>
      <c r="K19" s="31" t="s">
        <v>14</v>
      </c>
      <c r="M19" s="8"/>
      <c r="O19" s="315" t="s">
        <v>411</v>
      </c>
      <c r="P19" s="61" t="s">
        <v>413</v>
      </c>
      <c r="Q19" s="318">
        <v>63478.559999999998</v>
      </c>
    </row>
    <row r="20" spans="1:17" ht="16.5" thickBot="1">
      <c r="B20" s="344" t="s">
        <v>13</v>
      </c>
      <c r="C20" s="345"/>
      <c r="D20" s="346"/>
      <c r="E20" s="20">
        <v>17749154.030000001</v>
      </c>
      <c r="F20" s="150"/>
      <c r="G20" s="239"/>
      <c r="H20" s="240"/>
      <c r="I20" s="30"/>
      <c r="J20" s="25"/>
      <c r="K20" s="31"/>
      <c r="L20" s="32"/>
      <c r="M20" s="8" t="s">
        <v>405</v>
      </c>
      <c r="O20" s="319" t="s">
        <v>412</v>
      </c>
      <c r="P20" s="320" t="s">
        <v>414</v>
      </c>
      <c r="Q20" s="321">
        <f>+Q18-Q19</f>
        <v>-118733.25</v>
      </c>
    </row>
    <row r="21" spans="1:17">
      <c r="B21" s="187" t="s">
        <v>15</v>
      </c>
      <c r="C21" s="188"/>
      <c r="D21" s="189"/>
      <c r="E21" s="190">
        <f>SUM(E22:E25)</f>
        <v>143070.03</v>
      </c>
      <c r="F21" s="150"/>
      <c r="G21" s="361" t="s">
        <v>16</v>
      </c>
      <c r="H21" s="362"/>
      <c r="I21" s="36"/>
      <c r="J21" s="241" t="s">
        <v>187</v>
      </c>
      <c r="K21" s="242"/>
      <c r="L21" s="39"/>
      <c r="M21" s="8"/>
    </row>
    <row r="22" spans="1:17" ht="15" customHeight="1">
      <c r="B22" s="303"/>
      <c r="C22" s="304"/>
      <c r="D22" s="308" t="s">
        <v>400</v>
      </c>
      <c r="E22" s="190">
        <v>32207.4</v>
      </c>
      <c r="F22" s="150"/>
      <c r="G22" s="44">
        <v>14444.64</v>
      </c>
      <c r="H22" s="29" t="s">
        <v>10</v>
      </c>
      <c r="I22" s="30"/>
      <c r="J22" s="25">
        <v>20242.95</v>
      </c>
      <c r="K22" s="31" t="s">
        <v>188</v>
      </c>
      <c r="L22" s="39"/>
      <c r="M22" s="8"/>
    </row>
    <row r="23" spans="1:17" ht="15" customHeight="1">
      <c r="B23" s="301"/>
      <c r="C23" s="302"/>
      <c r="D23" s="308" t="s">
        <v>400</v>
      </c>
      <c r="E23" s="190">
        <v>110862.63</v>
      </c>
      <c r="F23" s="150"/>
      <c r="G23" s="44">
        <v>24748.57</v>
      </c>
      <c r="H23" s="29" t="s">
        <v>18</v>
      </c>
      <c r="I23" s="30"/>
      <c r="J23" s="25"/>
      <c r="K23" s="31"/>
      <c r="L23" s="39"/>
    </row>
    <row r="24" spans="1:17" ht="15" thickBot="1">
      <c r="B24" s="187"/>
      <c r="C24" s="188"/>
      <c r="D24" s="198"/>
      <c r="E24" s="190">
        <v>0</v>
      </c>
      <c r="F24" s="150"/>
      <c r="G24" s="51"/>
      <c r="H24" s="34"/>
      <c r="I24" s="30"/>
      <c r="J24" s="210"/>
      <c r="K24" s="53"/>
      <c r="L24" s="39"/>
      <c r="M24" s="311"/>
    </row>
    <row r="25" spans="1:17" ht="15" thickBot="1">
      <c r="B25" s="187"/>
      <c r="C25" s="188"/>
      <c r="D25" s="198"/>
      <c r="E25" s="190">
        <v>0</v>
      </c>
      <c r="F25" s="150"/>
      <c r="G25" s="331" t="s">
        <v>21</v>
      </c>
      <c r="H25" s="332"/>
      <c r="I25" s="332"/>
      <c r="J25" s="332"/>
      <c r="K25" s="333"/>
    </row>
    <row r="26" spans="1:17">
      <c r="B26" s="202" t="s">
        <v>17</v>
      </c>
      <c r="C26" s="203"/>
      <c r="D26" s="204"/>
      <c r="E26" s="234">
        <v>70000</v>
      </c>
      <c r="F26" s="219"/>
      <c r="G26" s="54"/>
      <c r="H26" s="55"/>
      <c r="I26" s="56"/>
      <c r="J26" s="211"/>
      <c r="K26" s="58"/>
    </row>
    <row r="27" spans="1:17">
      <c r="B27" s="202" t="s">
        <v>163</v>
      </c>
      <c r="C27" s="203"/>
      <c r="D27" s="204"/>
      <c r="E27" s="234">
        <v>0</v>
      </c>
      <c r="F27" s="150">
        <f>+F19</f>
        <v>34745.309999999983</v>
      </c>
      <c r="G27" s="377" t="s">
        <v>5</v>
      </c>
      <c r="H27" s="378"/>
      <c r="I27" s="59"/>
      <c r="J27" s="60"/>
      <c r="K27" s="45"/>
      <c r="O27" s="155"/>
      <c r="P27" s="155"/>
    </row>
    <row r="28" spans="1:17">
      <c r="B28" s="199" t="s">
        <v>22</v>
      </c>
      <c r="C28" s="200"/>
      <c r="D28" s="201"/>
      <c r="E28" s="234">
        <v>0</v>
      </c>
      <c r="F28" s="289">
        <f>SUM(E26:E32)</f>
        <v>70000</v>
      </c>
      <c r="G28" s="22">
        <v>4204.16</v>
      </c>
      <c r="H28" s="62" t="s">
        <v>9</v>
      </c>
      <c r="I28" s="59"/>
      <c r="J28" s="60"/>
      <c r="K28" s="45"/>
      <c r="N28" s="155"/>
      <c r="P28" s="155"/>
    </row>
    <row r="29" spans="1:17">
      <c r="B29" s="199" t="s">
        <v>64</v>
      </c>
      <c r="C29" s="200"/>
      <c r="D29" s="201"/>
      <c r="E29" s="234">
        <v>0</v>
      </c>
      <c r="F29" s="150">
        <f>+F27-F28</f>
        <v>-35254.690000000017</v>
      </c>
      <c r="G29" s="22">
        <v>1712.09</v>
      </c>
      <c r="H29" s="62" t="s">
        <v>26</v>
      </c>
      <c r="I29" s="63"/>
      <c r="J29" s="64"/>
      <c r="K29" s="65"/>
    </row>
    <row r="30" spans="1:17">
      <c r="B30" s="199" t="s">
        <v>52</v>
      </c>
      <c r="C30" s="200"/>
      <c r="D30" s="201"/>
      <c r="E30" s="49">
        <v>0</v>
      </c>
      <c r="F30" s="228"/>
      <c r="G30" s="67">
        <v>1917.78</v>
      </c>
      <c r="H30" s="68" t="s">
        <v>14</v>
      </c>
      <c r="I30" s="63"/>
      <c r="J30" s="64"/>
      <c r="K30" s="65"/>
      <c r="N30" s="155"/>
      <c r="P30" s="155"/>
    </row>
    <row r="31" spans="1:17" ht="15" thickBot="1">
      <c r="B31" s="344" t="s">
        <v>69</v>
      </c>
      <c r="C31" s="345"/>
      <c r="D31" s="346"/>
      <c r="E31" s="234">
        <v>0</v>
      </c>
      <c r="F31" s="219"/>
      <c r="G31" s="71">
        <v>7317.25</v>
      </c>
      <c r="H31" s="72" t="s">
        <v>12</v>
      </c>
      <c r="I31" s="73"/>
      <c r="J31" s="74"/>
      <c r="K31" s="75"/>
    </row>
    <row r="32" spans="1:17" ht="15" thickBot="1">
      <c r="B32" s="363" t="s">
        <v>29</v>
      </c>
      <c r="C32" s="364"/>
      <c r="D32" s="365"/>
      <c r="E32" s="66">
        <v>0</v>
      </c>
      <c r="F32" s="219"/>
      <c r="N32" s="155"/>
      <c r="P32" s="155"/>
    </row>
    <row r="33" spans="2:16">
      <c r="E33" s="61"/>
      <c r="F33" s="219"/>
    </row>
    <row r="34" spans="2:16">
      <c r="E34" s="61"/>
      <c r="F34" s="219"/>
      <c r="H34" s="61"/>
      <c r="I34" s="61"/>
      <c r="J34" s="39"/>
      <c r="K34" s="61"/>
      <c r="N34" s="155"/>
      <c r="P34" s="155"/>
    </row>
    <row r="35" spans="2:16">
      <c r="E35" s="61"/>
      <c r="F35" s="219"/>
      <c r="G35" s="8"/>
      <c r="H35" s="61"/>
      <c r="I35" s="61"/>
      <c r="J35" s="39"/>
      <c r="K35" s="61"/>
    </row>
    <row r="36" spans="2:16">
      <c r="E36" s="8"/>
      <c r="F36" s="219"/>
      <c r="G36" s="8"/>
      <c r="H36" s="13"/>
      <c r="I36" s="61"/>
      <c r="J36" s="13"/>
      <c r="K36" s="83"/>
      <c r="N36" s="155"/>
      <c r="P36" s="155"/>
    </row>
    <row r="37" spans="2:16">
      <c r="B37" s="61"/>
      <c r="C37" s="61"/>
      <c r="D37" s="61"/>
      <c r="E37" s="78" t="s">
        <v>404</v>
      </c>
      <c r="F37" s="297"/>
      <c r="G37" s="181"/>
      <c r="H37" s="161"/>
      <c r="I37" s="197"/>
      <c r="J37" s="13"/>
      <c r="K37" s="83"/>
    </row>
    <row r="38" spans="2:16" s="61" customFormat="1" ht="15" customHeight="1">
      <c r="E38" s="78"/>
      <c r="F38" s="297"/>
      <c r="G38" s="86"/>
      <c r="I38" s="197"/>
      <c r="J38" s="13"/>
      <c r="K38" s="83"/>
      <c r="L38" s="88"/>
      <c r="N38" s="273"/>
      <c r="P38" s="273"/>
    </row>
    <row r="39" spans="2:16" s="61" customFormat="1" ht="15" customHeight="1">
      <c r="E39" s="83" t="s">
        <v>34</v>
      </c>
      <c r="F39" s="297">
        <f>F19</f>
        <v>34745.309999999983</v>
      </c>
      <c r="G39" s="86"/>
      <c r="H39" s="161"/>
      <c r="I39" s="197"/>
      <c r="J39" s="13"/>
      <c r="K39" s="85"/>
      <c r="L39" s="161"/>
    </row>
    <row r="40" spans="2:16" s="61" customFormat="1" ht="15" customHeight="1">
      <c r="E40" s="83" t="s">
        <v>35</v>
      </c>
      <c r="F40" s="297">
        <f>+E19</f>
        <v>15151.28</v>
      </c>
      <c r="G40" s="86"/>
      <c r="I40" s="214"/>
      <c r="J40" s="13"/>
      <c r="K40" s="87"/>
      <c r="L40" s="161"/>
      <c r="N40" s="273"/>
      <c r="P40" s="273"/>
    </row>
    <row r="41" spans="2:16" s="61" customFormat="1" ht="15" customHeight="1">
      <c r="E41" s="83" t="s">
        <v>36</v>
      </c>
      <c r="F41" s="297">
        <v>0</v>
      </c>
      <c r="G41" s="9"/>
      <c r="I41" s="197"/>
      <c r="J41" s="13"/>
    </row>
    <row r="42" spans="2:16" s="61" customFormat="1" ht="15" customHeight="1">
      <c r="E42" s="83" t="s">
        <v>37</v>
      </c>
      <c r="F42" s="297">
        <v>0</v>
      </c>
      <c r="G42" s="9"/>
      <c r="I42" s="197"/>
      <c r="J42" s="13"/>
      <c r="N42" s="273"/>
      <c r="P42" s="273"/>
    </row>
    <row r="43" spans="2:16" s="61" customFormat="1" ht="15" customHeight="1">
      <c r="E43" s="85" t="s">
        <v>38</v>
      </c>
      <c r="F43" s="231">
        <f>SUM(F39:F42)</f>
        <v>49896.589999999982</v>
      </c>
      <c r="G43" s="9"/>
      <c r="H43" s="163"/>
      <c r="I43" s="229"/>
      <c r="J43" s="13"/>
    </row>
    <row r="44" spans="2:16" s="61" customFormat="1" ht="15" customHeight="1">
      <c r="E44" s="87"/>
      <c r="F44" s="232"/>
      <c r="G44" s="9"/>
      <c r="H44" s="165"/>
      <c r="I44" s="230"/>
      <c r="J44" s="13"/>
      <c r="N44" s="273"/>
      <c r="P44" s="273"/>
    </row>
    <row r="45" spans="2:16" s="61" customFormat="1" ht="15" customHeight="1">
      <c r="E45" s="87" t="s">
        <v>152</v>
      </c>
      <c r="F45" s="232">
        <v>270000</v>
      </c>
      <c r="G45" s="9"/>
      <c r="H45" s="165"/>
      <c r="I45" s="230"/>
      <c r="J45" s="13"/>
      <c r="N45" s="273"/>
      <c r="P45" s="273"/>
    </row>
    <row r="46" spans="2:16" s="61" customFormat="1" ht="15" customHeight="1">
      <c r="E46" s="87" t="s">
        <v>78</v>
      </c>
      <c r="F46" s="232">
        <v>115000</v>
      </c>
      <c r="G46" s="9"/>
      <c r="H46" s="165"/>
      <c r="I46" s="230"/>
      <c r="J46" s="13"/>
      <c r="N46" s="273"/>
      <c r="P46" s="273"/>
    </row>
    <row r="47" spans="2:16" s="61" customFormat="1" ht="15" customHeight="1">
      <c r="E47" s="87" t="s">
        <v>178</v>
      </c>
      <c r="F47" s="232">
        <v>1300000</v>
      </c>
      <c r="G47" s="9"/>
      <c r="H47" s="165"/>
      <c r="I47" s="230"/>
      <c r="J47" s="13"/>
      <c r="N47" s="273"/>
      <c r="P47" s="273"/>
    </row>
    <row r="48" spans="2:16" s="61" customFormat="1" ht="15" customHeight="1">
      <c r="E48" s="87" t="s">
        <v>180</v>
      </c>
      <c r="F48" s="232">
        <v>0</v>
      </c>
      <c r="G48" s="9"/>
      <c r="H48" s="165"/>
      <c r="I48" s="230"/>
      <c r="J48" s="13"/>
      <c r="N48" s="273"/>
      <c r="P48" s="273"/>
    </row>
    <row r="49" spans="2:16" s="61" customFormat="1" ht="15" customHeight="1">
      <c r="E49" s="87" t="s">
        <v>64</v>
      </c>
      <c r="F49" s="232">
        <v>0</v>
      </c>
      <c r="G49" s="9"/>
      <c r="H49" s="165"/>
      <c r="I49" s="230"/>
      <c r="J49" s="13"/>
      <c r="N49" s="273"/>
      <c r="P49" s="273"/>
    </row>
    <row r="50" spans="2:16" s="61" customFormat="1" ht="15" customHeight="1">
      <c r="E50" s="87" t="s">
        <v>69</v>
      </c>
      <c r="F50" s="232">
        <v>60000</v>
      </c>
      <c r="G50" s="9"/>
      <c r="H50" s="165"/>
      <c r="I50" s="230"/>
      <c r="J50" s="13"/>
      <c r="N50" s="273"/>
      <c r="P50" s="273"/>
    </row>
    <row r="51" spans="2:16" s="61" customFormat="1" ht="15" customHeight="1">
      <c r="E51" s="91" t="s">
        <v>24</v>
      </c>
      <c r="F51" s="228">
        <f>15000+65000+220000+18000</f>
        <v>318000</v>
      </c>
      <c r="G51" s="8"/>
      <c r="H51" s="91"/>
      <c r="I51" s="231"/>
      <c r="J51" s="13"/>
    </row>
    <row r="52" spans="2:16" s="61" customFormat="1" ht="15" customHeight="1">
      <c r="E52" s="91" t="s">
        <v>22</v>
      </c>
      <c r="F52" s="228">
        <v>35000</v>
      </c>
      <c r="G52" s="8"/>
      <c r="H52" s="96"/>
      <c r="I52" s="231"/>
      <c r="J52" s="262"/>
    </row>
    <row r="53" spans="2:16" s="61" customFormat="1">
      <c r="E53" s="91" t="s">
        <v>40</v>
      </c>
      <c r="F53" s="232">
        <f>200000-20000</f>
        <v>180000</v>
      </c>
      <c r="G53" s="82"/>
      <c r="H53" s="83"/>
      <c r="I53" s="228"/>
      <c r="J53" s="13"/>
    </row>
    <row r="54" spans="2:16" s="61" customFormat="1">
      <c r="E54" s="96" t="s">
        <v>41</v>
      </c>
      <c r="F54" s="231">
        <f>SUM(F45:F53)</f>
        <v>2278000</v>
      </c>
      <c r="G54" s="82"/>
      <c r="H54" s="83"/>
      <c r="I54" s="233"/>
      <c r="J54" s="13"/>
    </row>
    <row r="55" spans="2:16" s="61" customFormat="1">
      <c r="E55" s="96" t="s">
        <v>42</v>
      </c>
      <c r="F55" s="231">
        <f>F43-F54</f>
        <v>-2228103.41</v>
      </c>
      <c r="G55" s="82"/>
      <c r="H55" s="83"/>
      <c r="I55" s="233"/>
      <c r="J55" s="13"/>
    </row>
    <row r="56" spans="2:16" s="61" customFormat="1">
      <c r="E56" s="83"/>
      <c r="F56" s="151"/>
      <c r="G56" s="82"/>
      <c r="H56" s="83"/>
      <c r="I56" s="233"/>
      <c r="J56" s="13"/>
      <c r="L56" s="91"/>
    </row>
    <row r="57" spans="2:16" s="61" customFormat="1">
      <c r="E57" s="83" t="s">
        <v>43</v>
      </c>
      <c r="F57" s="151">
        <v>0</v>
      </c>
      <c r="G57" s="82"/>
      <c r="H57" s="96"/>
      <c r="I57" s="228"/>
      <c r="J57" s="13"/>
      <c r="L57" s="91"/>
    </row>
    <row r="58" spans="2:16" s="61" customFormat="1">
      <c r="E58" s="83" t="s">
        <v>44</v>
      </c>
      <c r="F58" s="151">
        <f>170000</f>
        <v>170000</v>
      </c>
      <c r="G58" s="82"/>
      <c r="H58" s="96"/>
      <c r="I58" s="228"/>
      <c r="J58" s="13"/>
      <c r="L58" s="91"/>
    </row>
    <row r="59" spans="2:16" s="61" customFormat="1">
      <c r="E59" s="83" t="s">
        <v>386</v>
      </c>
      <c r="F59" s="151">
        <v>3866.8</v>
      </c>
      <c r="G59" s="82"/>
      <c r="H59" s="83"/>
      <c r="I59" s="233"/>
      <c r="J59" s="13"/>
      <c r="L59" s="96"/>
    </row>
    <row r="60" spans="2:16" s="61" customFormat="1">
      <c r="E60" s="83" t="s">
        <v>45</v>
      </c>
      <c r="F60" s="95">
        <v>1163364.29</v>
      </c>
      <c r="G60" s="8"/>
      <c r="H60" s="96"/>
      <c r="I60" s="219"/>
      <c r="J60" s="13"/>
      <c r="L60" s="96"/>
    </row>
    <row r="61" spans="2:16" s="61" customFormat="1">
      <c r="E61" s="83" t="s">
        <v>205</v>
      </c>
      <c r="F61" s="95">
        <v>493904.01</v>
      </c>
      <c r="G61" s="8"/>
      <c r="J61" s="13"/>
    </row>
    <row r="62" spans="2:16" s="61" customFormat="1">
      <c r="B62"/>
      <c r="C62"/>
      <c r="D62"/>
      <c r="E62" s="83" t="s">
        <v>206</v>
      </c>
      <c r="F62" s="95">
        <v>0</v>
      </c>
      <c r="G62" s="8"/>
      <c r="J62" s="13"/>
      <c r="L62" s="83"/>
    </row>
    <row r="63" spans="2:16">
      <c r="E63" s="96" t="s">
        <v>46</v>
      </c>
      <c r="F63" s="99">
        <f>SUM(F57:F62)</f>
        <v>1831135.1</v>
      </c>
      <c r="G63" s="8"/>
    </row>
    <row r="64" spans="2:16">
      <c r="E64" s="83"/>
      <c r="F64" s="265"/>
      <c r="G64" s="8"/>
    </row>
    <row r="65" spans="1:7">
      <c r="E65" s="118" t="s">
        <v>47</v>
      </c>
      <c r="F65" s="142">
        <v>20000</v>
      </c>
      <c r="G65" s="8"/>
    </row>
    <row r="66" spans="1:7">
      <c r="D66" s="247" t="s">
        <v>192</v>
      </c>
      <c r="E66" s="8"/>
      <c r="G66" s="8"/>
    </row>
    <row r="67" spans="1:7">
      <c r="D67" s="247" t="s">
        <v>194</v>
      </c>
      <c r="E67" s="8"/>
      <c r="G67" s="8"/>
    </row>
    <row r="68" spans="1:7">
      <c r="D68" s="8" t="s">
        <v>9</v>
      </c>
      <c r="E68" s="61"/>
      <c r="F68" s="219"/>
      <c r="G68" s="124">
        <f>SUM(E76:F76)</f>
        <v>0</v>
      </c>
    </row>
    <row r="69" spans="1:7">
      <c r="D69" s="8" t="s">
        <v>195</v>
      </c>
      <c r="E69" s="61"/>
      <c r="F69" s="219"/>
      <c r="G69" s="8"/>
    </row>
    <row r="70" spans="1:7">
      <c r="D70" s="8" t="s">
        <v>188</v>
      </c>
      <c r="E70" s="243"/>
      <c r="F70" s="243"/>
      <c r="G70" s="8"/>
    </row>
    <row r="71" spans="1:7">
      <c r="D71" s="8"/>
      <c r="E71" s="243"/>
      <c r="F71" s="244"/>
    </row>
    <row r="72" spans="1:7">
      <c r="E72" s="245"/>
      <c r="F72" s="246"/>
    </row>
    <row r="73" spans="1:7">
      <c r="E73" s="245"/>
      <c r="F73" s="246"/>
    </row>
    <row r="74" spans="1:7">
      <c r="E74" s="249"/>
      <c r="F74" s="287"/>
    </row>
    <row r="75" spans="1:7">
      <c r="E75" s="124"/>
      <c r="F75" s="287"/>
    </row>
    <row r="76" spans="1:7">
      <c r="E76" s="8"/>
    </row>
    <row r="77" spans="1:7">
      <c r="E77" s="8"/>
    </row>
    <row r="78" spans="1:7">
      <c r="A78" s="268"/>
      <c r="E78" s="8"/>
    </row>
    <row r="79" spans="1:7">
      <c r="E79" s="8"/>
    </row>
    <row r="80" spans="1:7">
      <c r="B80" s="235"/>
      <c r="E80" s="8"/>
    </row>
    <row r="81" spans="1:5">
      <c r="E81" s="8"/>
    </row>
    <row r="82" spans="1:5"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93"/>
    </row>
    <row r="111" spans="1:5">
      <c r="C111" s="155"/>
      <c r="E111" s="8"/>
    </row>
    <row r="112" spans="1:5">
      <c r="A112" s="269"/>
      <c r="E112" s="293"/>
    </row>
    <row r="113" spans="1:5">
      <c r="C113" s="155"/>
      <c r="E113" s="8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  <c r="E123" s="79"/>
    </row>
    <row r="124" spans="1:5">
      <c r="A124" s="269"/>
      <c r="E124" s="277"/>
    </row>
    <row r="125" spans="1:5">
      <c r="C125" s="155"/>
      <c r="E125" s="79"/>
    </row>
    <row r="126" spans="1:5">
      <c r="A126" s="269"/>
      <c r="E126" s="277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C199" s="155"/>
    </row>
    <row r="200" spans="1:5">
      <c r="A200" s="269"/>
      <c r="E200" s="155"/>
    </row>
    <row r="201" spans="1:5">
      <c r="C201" s="155"/>
    </row>
    <row r="202" spans="1:5">
      <c r="A202" s="269"/>
      <c r="E202" s="155"/>
    </row>
    <row r="203" spans="1:5">
      <c r="D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5">
      <c r="C209" s="155"/>
    </row>
    <row r="210" spans="1:5">
      <c r="A210" s="269"/>
      <c r="E210" s="155"/>
    </row>
    <row r="211" spans="1:5">
      <c r="C211" s="155"/>
    </row>
    <row r="212" spans="1:5">
      <c r="A212" s="269"/>
      <c r="E212" s="155"/>
    </row>
    <row r="213" spans="1:5">
      <c r="C213" s="155"/>
    </row>
    <row r="214" spans="1:5">
      <c r="A214" s="269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4E7CA-04D6-407A-BDD3-CC75F155AB3A}">
  <dimension ref="A6:O214"/>
  <sheetViews>
    <sheetView showGridLines="0" workbookViewId="0">
      <selection sqref="A1:XFD1048576"/>
    </sheetView>
  </sheetViews>
  <sheetFormatPr baseColWidth="10" defaultRowHeight="14.5"/>
  <cols>
    <col min="2" max="2" width="16.54296875" customWidth="1"/>
    <col min="4" max="4" width="22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style="61" bestFit="1" customWidth="1"/>
    <col min="13" max="13" width="14" style="61" customWidth="1"/>
  </cols>
  <sheetData>
    <row r="6" spans="1:15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  <c r="L6" s="61"/>
      <c r="M6" s="61"/>
    </row>
    <row r="7" spans="1:15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s="61" t="s">
        <v>20</v>
      </c>
    </row>
    <row r="8" spans="1:15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5">
      <c r="A9" s="1"/>
      <c r="B9" s="1"/>
      <c r="C9" s="1"/>
      <c r="D9" s="1"/>
      <c r="E9" s="1"/>
      <c r="F9" s="215" t="s">
        <v>358</v>
      </c>
      <c r="G9" s="1"/>
      <c r="H9" s="1"/>
      <c r="I9" s="4"/>
      <c r="J9" s="76"/>
      <c r="K9" s="1"/>
    </row>
    <row r="10" spans="1:15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5" ht="19" thickBot="1">
      <c r="A11" s="1"/>
      <c r="B11" s="1"/>
      <c r="C11" s="1"/>
      <c r="D11" s="1"/>
      <c r="E11" s="295"/>
      <c r="F11" s="295"/>
      <c r="G11" s="296"/>
      <c r="H11" s="1"/>
      <c r="I11" s="1"/>
      <c r="J11" s="76"/>
      <c r="K11" s="1"/>
    </row>
    <row r="12" spans="1:15" ht="19" thickBot="1">
      <c r="A12" s="1"/>
      <c r="B12" s="331" t="s">
        <v>2</v>
      </c>
      <c r="C12" s="332"/>
      <c r="D12" s="332"/>
      <c r="E12" s="333"/>
      <c r="F12" s="309"/>
      <c r="G12" s="296"/>
      <c r="H12" s="1"/>
      <c r="I12" s="1"/>
      <c r="J12" s="76"/>
      <c r="K12" s="1"/>
    </row>
    <row r="13" spans="1:15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  <c r="M13" s="61" t="s">
        <v>20</v>
      </c>
    </row>
    <row r="14" spans="1:15" ht="18" thickBot="1">
      <c r="A14" s="11"/>
      <c r="B14" s="334" t="s">
        <v>3</v>
      </c>
      <c r="C14" s="335"/>
      <c r="D14" s="336"/>
      <c r="E14" s="17">
        <f>SUM(E15:E17)</f>
        <v>188006.77000000002</v>
      </c>
      <c r="F14" s="217"/>
      <c r="G14" s="331" t="s">
        <v>4</v>
      </c>
      <c r="H14" s="332"/>
      <c r="I14" s="332"/>
      <c r="J14" s="332"/>
      <c r="K14" s="333"/>
      <c r="L14" s="13"/>
      <c r="N14" s="79"/>
      <c r="O14" s="79"/>
    </row>
    <row r="15" spans="1:15">
      <c r="A15" s="1"/>
      <c r="B15" s="337" t="s">
        <v>5</v>
      </c>
      <c r="C15" s="338"/>
      <c r="D15" s="339"/>
      <c r="E15" s="20">
        <f>J16+J17+J18+J19</f>
        <v>122170.58000000002</v>
      </c>
      <c r="F15" s="150"/>
      <c r="G15" s="340" t="s">
        <v>6</v>
      </c>
      <c r="H15" s="341"/>
      <c r="I15" s="21"/>
      <c r="J15" s="342" t="s">
        <v>5</v>
      </c>
      <c r="K15" s="343"/>
      <c r="L15" s="13"/>
      <c r="N15" s="79"/>
      <c r="O15" s="79"/>
    </row>
    <row r="16" spans="1:15">
      <c r="A16" s="1"/>
      <c r="B16" s="349" t="s">
        <v>7</v>
      </c>
      <c r="C16" s="350"/>
      <c r="D16" s="351"/>
      <c r="E16" s="20">
        <f>G22+G23</f>
        <v>37680.21</v>
      </c>
      <c r="F16" s="150"/>
      <c r="G16" s="22">
        <v>13475.22</v>
      </c>
      <c r="H16" s="23" t="s">
        <v>8</v>
      </c>
      <c r="I16" s="24"/>
      <c r="J16" s="25">
        <v>12407.24</v>
      </c>
      <c r="K16" s="26" t="s">
        <v>9</v>
      </c>
      <c r="L16" s="19"/>
      <c r="N16" s="79"/>
      <c r="O16" s="79"/>
    </row>
    <row r="17" spans="1:15">
      <c r="A17" s="1"/>
      <c r="B17" s="352" t="s">
        <v>6</v>
      </c>
      <c r="C17" s="353"/>
      <c r="D17" s="354"/>
      <c r="E17" s="28">
        <f>G16+G17+G18</f>
        <v>28155.98</v>
      </c>
      <c r="F17" s="150">
        <f>E15+E16+E17</f>
        <v>188006.77000000002</v>
      </c>
      <c r="G17" s="22">
        <v>11384.12</v>
      </c>
      <c r="H17" s="29" t="s">
        <v>10</v>
      </c>
      <c r="I17" s="30"/>
      <c r="J17" s="25">
        <f>171089.57-110862.63</f>
        <v>60226.94</v>
      </c>
      <c r="K17" s="31" t="s">
        <v>10</v>
      </c>
      <c r="L17" s="13"/>
      <c r="N17" s="79"/>
      <c r="O17" s="79"/>
    </row>
    <row r="18" spans="1:15">
      <c r="A18" s="1"/>
      <c r="B18" s="236" t="s">
        <v>187</v>
      </c>
      <c r="C18" s="237"/>
      <c r="D18" s="238"/>
      <c r="E18" s="28">
        <f>+J22</f>
        <v>20242.95</v>
      </c>
      <c r="F18" s="150">
        <v>180000</v>
      </c>
      <c r="G18" s="22">
        <v>3296.64</v>
      </c>
      <c r="H18" s="29" t="s">
        <v>12</v>
      </c>
      <c r="I18" s="30"/>
      <c r="J18" s="25">
        <v>11069.39</v>
      </c>
      <c r="K18" s="31" t="s">
        <v>12</v>
      </c>
      <c r="L18" s="13"/>
      <c r="N18" s="79"/>
      <c r="O18" s="79"/>
    </row>
    <row r="19" spans="1:15">
      <c r="B19" s="379" t="s">
        <v>11</v>
      </c>
      <c r="C19" s="380"/>
      <c r="D19" s="381"/>
      <c r="E19" s="20">
        <f>G29+G31+G30+G28</f>
        <v>15159.66</v>
      </c>
      <c r="F19" s="150">
        <f>+F17-F18</f>
        <v>8006.7700000000186</v>
      </c>
      <c r="G19" s="33"/>
      <c r="H19" s="34"/>
      <c r="I19" s="30"/>
      <c r="J19" s="25">
        <f>70674.41-32207.4</f>
        <v>38467.01</v>
      </c>
      <c r="K19" s="31" t="s">
        <v>14</v>
      </c>
      <c r="N19" s="79"/>
      <c r="O19" s="79"/>
    </row>
    <row r="20" spans="1:15">
      <c r="B20" s="344" t="s">
        <v>13</v>
      </c>
      <c r="C20" s="345"/>
      <c r="D20" s="346"/>
      <c r="E20" s="20">
        <v>18501781.760000002</v>
      </c>
      <c r="F20" s="150"/>
      <c r="G20" s="239"/>
      <c r="H20" s="240"/>
      <c r="I20" s="30"/>
      <c r="J20" s="25"/>
      <c r="K20" s="31"/>
      <c r="L20" s="32"/>
      <c r="M20" s="61" t="s">
        <v>405</v>
      </c>
      <c r="N20" s="79"/>
      <c r="O20" s="79"/>
    </row>
    <row r="21" spans="1:15">
      <c r="B21" s="187" t="s">
        <v>15</v>
      </c>
      <c r="C21" s="188"/>
      <c r="D21" s="189"/>
      <c r="E21" s="190">
        <f>SUM(E22:E25)</f>
        <v>91767.12</v>
      </c>
      <c r="F21" s="150"/>
      <c r="G21" s="361" t="s">
        <v>16</v>
      </c>
      <c r="H21" s="362"/>
      <c r="I21" s="36"/>
      <c r="J21" s="241" t="s">
        <v>187</v>
      </c>
      <c r="K21" s="242"/>
      <c r="L21" s="39"/>
      <c r="N21" s="79"/>
      <c r="O21" s="79"/>
    </row>
    <row r="22" spans="1:15" ht="15" customHeight="1">
      <c r="B22" s="303"/>
      <c r="C22" s="304"/>
      <c r="D22" s="308" t="s">
        <v>416</v>
      </c>
      <c r="E22" s="190">
        <v>48524.27</v>
      </c>
      <c r="F22" s="150"/>
      <c r="G22" s="44">
        <v>14444.64</v>
      </c>
      <c r="H22" s="29" t="s">
        <v>10</v>
      </c>
      <c r="I22" s="30"/>
      <c r="J22" s="25">
        <v>20242.95</v>
      </c>
      <c r="K22" s="31" t="s">
        <v>188</v>
      </c>
      <c r="L22" s="39"/>
      <c r="N22" s="79"/>
      <c r="O22" s="79"/>
    </row>
    <row r="23" spans="1:15" ht="15" customHeight="1">
      <c r="B23" s="301"/>
      <c r="C23" s="302"/>
      <c r="D23" s="308" t="s">
        <v>416</v>
      </c>
      <c r="E23" s="190">
        <v>43242.85</v>
      </c>
      <c r="F23" s="150"/>
      <c r="G23" s="44">
        <v>23235.57</v>
      </c>
      <c r="H23" s="29" t="s">
        <v>18</v>
      </c>
      <c r="I23" s="30"/>
      <c r="J23" s="25"/>
      <c r="K23" s="31"/>
      <c r="L23" s="39"/>
      <c r="N23" s="79"/>
      <c r="O23" s="79"/>
    </row>
    <row r="24" spans="1:15" ht="15" thickBot="1">
      <c r="B24" s="187"/>
      <c r="C24" s="188"/>
      <c r="D24" s="198"/>
      <c r="E24" s="190">
        <v>0</v>
      </c>
      <c r="F24" s="150"/>
      <c r="G24" s="51"/>
      <c r="H24" s="34"/>
      <c r="I24" s="30"/>
      <c r="J24" s="210"/>
      <c r="K24" s="53"/>
      <c r="L24" s="39"/>
      <c r="M24" s="311"/>
      <c r="N24" s="79"/>
      <c r="O24" s="79"/>
    </row>
    <row r="25" spans="1:15" ht="15" thickBot="1">
      <c r="B25" s="187"/>
      <c r="C25" s="188"/>
      <c r="D25" s="198"/>
      <c r="E25" s="190">
        <v>0</v>
      </c>
      <c r="F25" s="150"/>
      <c r="G25" s="331" t="s">
        <v>21</v>
      </c>
      <c r="H25" s="332"/>
      <c r="I25" s="332"/>
      <c r="J25" s="332"/>
      <c r="K25" s="333"/>
      <c r="N25" s="79"/>
      <c r="O25" s="79"/>
    </row>
    <row r="26" spans="1:15">
      <c r="B26" s="202" t="s">
        <v>17</v>
      </c>
      <c r="C26" s="203"/>
      <c r="D26" s="204"/>
      <c r="E26" s="234">
        <v>57294.93</v>
      </c>
      <c r="F26" s="219"/>
      <c r="G26" s="54"/>
      <c r="H26" s="55"/>
      <c r="I26" s="56"/>
      <c r="J26" s="211"/>
      <c r="K26" s="58"/>
      <c r="N26" s="79"/>
      <c r="O26" s="79"/>
    </row>
    <row r="27" spans="1:15">
      <c r="B27" s="202" t="s">
        <v>163</v>
      </c>
      <c r="C27" s="203"/>
      <c r="D27" s="204"/>
      <c r="E27" s="234">
        <f>1300000+115000</f>
        <v>1415000</v>
      </c>
      <c r="F27" s="150">
        <f>+F19</f>
        <v>8006.7700000000186</v>
      </c>
      <c r="G27" s="377" t="s">
        <v>5</v>
      </c>
      <c r="H27" s="378"/>
      <c r="I27" s="59"/>
      <c r="J27" s="60"/>
      <c r="K27" s="45"/>
      <c r="N27" s="79"/>
      <c r="O27" s="79"/>
    </row>
    <row r="28" spans="1:15">
      <c r="B28" s="199" t="s">
        <v>22</v>
      </c>
      <c r="C28" s="200"/>
      <c r="D28" s="201"/>
      <c r="E28" s="234">
        <v>184</v>
      </c>
      <c r="F28" s="289">
        <f>SUM(E26:E32)</f>
        <v>1749029.0299999998</v>
      </c>
      <c r="G28" s="22">
        <v>4206.34</v>
      </c>
      <c r="H28" s="62" t="s">
        <v>9</v>
      </c>
      <c r="I28" s="59"/>
      <c r="J28" s="60"/>
      <c r="K28" s="45"/>
      <c r="N28" s="155"/>
    </row>
    <row r="29" spans="1:15">
      <c r="B29" s="199" t="s">
        <v>64</v>
      </c>
      <c r="C29" s="200"/>
      <c r="D29" s="201"/>
      <c r="E29" s="234">
        <v>0</v>
      </c>
      <c r="F29" s="150">
        <f>+F27-F28</f>
        <v>-1741022.2599999998</v>
      </c>
      <c r="G29" s="22">
        <v>1712.25</v>
      </c>
      <c r="H29" s="62" t="s">
        <v>26</v>
      </c>
      <c r="I29" s="63"/>
      <c r="J29" s="64"/>
      <c r="K29" s="65"/>
    </row>
    <row r="30" spans="1:15">
      <c r="B30" s="199" t="s">
        <v>24</v>
      </c>
      <c r="C30" s="200"/>
      <c r="D30" s="201"/>
      <c r="E30" s="49">
        <f>220643.35+55906.75</f>
        <v>276550.09999999998</v>
      </c>
      <c r="F30" s="228"/>
      <c r="G30" s="67">
        <v>1918.13</v>
      </c>
      <c r="H30" s="68" t="s">
        <v>14</v>
      </c>
      <c r="I30" s="63"/>
      <c r="J30" s="64"/>
      <c r="K30" s="65"/>
      <c r="N30" s="155"/>
    </row>
    <row r="31" spans="1:15" ht="15" thickBot="1">
      <c r="B31" s="344" t="s">
        <v>69</v>
      </c>
      <c r="C31" s="345"/>
      <c r="D31" s="346"/>
      <c r="E31" s="234">
        <v>0</v>
      </c>
      <c r="F31" s="219"/>
      <c r="G31" s="71">
        <v>7322.94</v>
      </c>
      <c r="H31" s="72" t="s">
        <v>12</v>
      </c>
      <c r="I31" s="73"/>
      <c r="J31" s="74"/>
      <c r="K31" s="75"/>
    </row>
    <row r="32" spans="1:15" ht="15" thickBot="1">
      <c r="B32" s="363" t="s">
        <v>29</v>
      </c>
      <c r="C32" s="364"/>
      <c r="D32" s="365"/>
      <c r="E32" s="66">
        <v>0</v>
      </c>
      <c r="F32" s="219"/>
      <c r="N32" s="155"/>
    </row>
    <row r="33" spans="2:14">
      <c r="E33" s="61"/>
      <c r="F33" s="219"/>
    </row>
    <row r="34" spans="2:14">
      <c r="E34" s="61"/>
      <c r="F34" s="219"/>
      <c r="H34" s="61"/>
      <c r="I34" s="61"/>
      <c r="J34" s="39"/>
      <c r="K34" s="61"/>
      <c r="N34" s="155"/>
    </row>
    <row r="35" spans="2:14">
      <c r="E35" s="61"/>
      <c r="F35" s="219"/>
      <c r="G35" s="8"/>
      <c r="H35" s="61"/>
      <c r="I35" s="61"/>
      <c r="J35" s="39"/>
      <c r="K35" s="61"/>
    </row>
    <row r="36" spans="2:14">
      <c r="D36" s="8"/>
      <c r="E36" s="61"/>
      <c r="F36" s="219"/>
      <c r="G36" s="8"/>
      <c r="H36" s="13"/>
      <c r="I36" s="61"/>
      <c r="J36" s="13"/>
      <c r="K36" s="83"/>
      <c r="N36" s="155"/>
    </row>
    <row r="37" spans="2:14">
      <c r="B37" s="61"/>
      <c r="C37" s="61"/>
      <c r="D37" s="8"/>
      <c r="E37" s="78" t="s">
        <v>404</v>
      </c>
      <c r="F37" s="297"/>
      <c r="G37" s="181"/>
      <c r="H37" s="161"/>
      <c r="I37" s="197"/>
      <c r="J37" s="13"/>
      <c r="K37" s="83"/>
    </row>
    <row r="38" spans="2:14" s="61" customFormat="1" ht="15" customHeight="1">
      <c r="D38" s="8"/>
      <c r="E38" s="78"/>
      <c r="F38" s="297"/>
      <c r="G38" s="86"/>
      <c r="I38" s="197"/>
      <c r="J38" s="13"/>
      <c r="K38" s="83"/>
      <c r="L38" s="88"/>
      <c r="N38" s="273"/>
    </row>
    <row r="39" spans="2:14" s="61" customFormat="1" ht="15" customHeight="1">
      <c r="D39" s="8"/>
      <c r="E39" s="83" t="s">
        <v>34</v>
      </c>
      <c r="F39" s="297">
        <f>F19</f>
        <v>8006.7700000000186</v>
      </c>
      <c r="G39" s="86"/>
      <c r="H39" s="161"/>
      <c r="I39" s="197"/>
      <c r="J39" s="13"/>
      <c r="K39" s="85"/>
      <c r="L39" s="161"/>
    </row>
    <row r="40" spans="2:14" s="61" customFormat="1" ht="15" customHeight="1">
      <c r="D40" s="8"/>
      <c r="E40" s="83" t="s">
        <v>35</v>
      </c>
      <c r="F40" s="297">
        <f>+E19</f>
        <v>15159.66</v>
      </c>
      <c r="G40" s="86"/>
      <c r="I40" s="214"/>
      <c r="J40" s="13"/>
      <c r="K40" s="87"/>
      <c r="L40" s="161"/>
      <c r="N40" s="273"/>
    </row>
    <row r="41" spans="2:14" s="61" customFormat="1" ht="15" customHeight="1">
      <c r="D41" s="8"/>
      <c r="E41" s="83" t="s">
        <v>36</v>
      </c>
      <c r="F41" s="297">
        <v>0</v>
      </c>
      <c r="G41" s="9"/>
      <c r="I41" s="197"/>
      <c r="J41" s="13"/>
    </row>
    <row r="42" spans="2:14" s="61" customFormat="1" ht="15" customHeight="1">
      <c r="D42" s="8"/>
      <c r="E42" s="83" t="s">
        <v>37</v>
      </c>
      <c r="F42" s="297">
        <v>0</v>
      </c>
      <c r="G42" s="9"/>
      <c r="I42" s="197"/>
      <c r="J42" s="13"/>
      <c r="N42" s="273"/>
    </row>
    <row r="43" spans="2:14" s="61" customFormat="1" ht="15" customHeight="1">
      <c r="D43" s="8"/>
      <c r="E43" s="85" t="s">
        <v>38</v>
      </c>
      <c r="F43" s="231">
        <f>SUM(F39:F42)</f>
        <v>23166.430000000018</v>
      </c>
      <c r="G43" s="9"/>
      <c r="H43" s="163"/>
      <c r="I43" s="229"/>
      <c r="J43" s="13"/>
    </row>
    <row r="44" spans="2:14" s="61" customFormat="1" ht="15" customHeight="1">
      <c r="D44" s="8"/>
      <c r="E44" s="87"/>
      <c r="F44" s="232"/>
      <c r="G44" s="9"/>
      <c r="H44" s="165"/>
      <c r="I44" s="230"/>
      <c r="J44" s="13"/>
      <c r="N44" s="273"/>
    </row>
    <row r="45" spans="2:14" s="61" customFormat="1" ht="15" customHeight="1">
      <c r="D45" s="8"/>
      <c r="E45" s="87" t="s">
        <v>152</v>
      </c>
      <c r="F45" s="232">
        <v>270000</v>
      </c>
      <c r="G45" s="9"/>
      <c r="H45" s="165"/>
      <c r="I45" s="230"/>
      <c r="J45" s="13"/>
      <c r="N45" s="273"/>
    </row>
    <row r="46" spans="2:14" s="61" customFormat="1" ht="15" customHeight="1">
      <c r="D46" s="8"/>
      <c r="E46" s="87" t="s">
        <v>78</v>
      </c>
      <c r="F46" s="232">
        <v>115000</v>
      </c>
      <c r="G46" s="9"/>
      <c r="H46" s="165"/>
      <c r="I46" s="230"/>
      <c r="J46" s="13"/>
      <c r="N46" s="273"/>
    </row>
    <row r="47" spans="2:14" s="61" customFormat="1" ht="15" customHeight="1">
      <c r="D47" s="8"/>
      <c r="E47" s="87" t="s">
        <v>178</v>
      </c>
      <c r="F47" s="232">
        <v>1300000</v>
      </c>
      <c r="G47" s="9"/>
      <c r="H47" s="165"/>
      <c r="I47" s="230"/>
      <c r="J47" s="13"/>
      <c r="N47" s="273"/>
    </row>
    <row r="48" spans="2:14" s="61" customFormat="1" ht="15" customHeight="1">
      <c r="D48" s="8"/>
      <c r="E48" s="87" t="s">
        <v>180</v>
      </c>
      <c r="F48" s="232">
        <v>0</v>
      </c>
      <c r="G48" s="9"/>
      <c r="H48" s="165"/>
      <c r="I48" s="230"/>
      <c r="J48" s="13"/>
      <c r="N48" s="273"/>
    </row>
    <row r="49" spans="2:14" s="61" customFormat="1" ht="15" customHeight="1">
      <c r="D49" s="8"/>
      <c r="E49" s="87" t="s">
        <v>64</v>
      </c>
      <c r="F49" s="232">
        <v>0</v>
      </c>
      <c r="G49" s="9"/>
      <c r="H49" s="165"/>
      <c r="I49" s="230"/>
      <c r="J49" s="13"/>
      <c r="N49" s="273"/>
    </row>
    <row r="50" spans="2:14" s="61" customFormat="1" ht="15" customHeight="1">
      <c r="D50" s="8"/>
      <c r="E50" s="87" t="s">
        <v>69</v>
      </c>
      <c r="F50" s="232">
        <v>60000</v>
      </c>
      <c r="G50" s="9"/>
      <c r="H50" s="165"/>
      <c r="I50" s="230"/>
      <c r="J50" s="13"/>
      <c r="N50" s="273"/>
    </row>
    <row r="51" spans="2:14" s="61" customFormat="1" ht="15" customHeight="1">
      <c r="D51" s="8"/>
      <c r="E51" s="91" t="s">
        <v>24</v>
      </c>
      <c r="F51" s="228">
        <f>15000+65000+220000+18000</f>
        <v>318000</v>
      </c>
      <c r="G51" s="8"/>
      <c r="H51" s="91"/>
      <c r="I51" s="231"/>
      <c r="J51" s="13"/>
    </row>
    <row r="52" spans="2:14" s="61" customFormat="1" ht="15" customHeight="1">
      <c r="D52" s="8"/>
      <c r="E52" s="91" t="s">
        <v>22</v>
      </c>
      <c r="F52" s="228">
        <v>35000</v>
      </c>
      <c r="G52" s="8"/>
      <c r="H52" s="96"/>
      <c r="I52" s="231"/>
      <c r="J52" s="262"/>
    </row>
    <row r="53" spans="2:14" s="61" customFormat="1">
      <c r="D53" s="8"/>
      <c r="E53" s="91" t="s">
        <v>40</v>
      </c>
      <c r="F53" s="232">
        <f>200000-20000-26000</f>
        <v>154000</v>
      </c>
      <c r="G53" s="82"/>
      <c r="H53" s="83"/>
      <c r="I53" s="228"/>
      <c r="J53" s="13"/>
    </row>
    <row r="54" spans="2:14" s="61" customFormat="1">
      <c r="D54" s="8"/>
      <c r="E54" s="96" t="s">
        <v>41</v>
      </c>
      <c r="F54" s="231">
        <f>SUM(F45:F53)</f>
        <v>2252000</v>
      </c>
      <c r="G54" s="82"/>
      <c r="H54" s="83"/>
      <c r="I54" s="233"/>
      <c r="J54" s="13"/>
    </row>
    <row r="55" spans="2:14" s="61" customFormat="1">
      <c r="D55" s="8"/>
      <c r="E55" s="96" t="s">
        <v>42</v>
      </c>
      <c r="F55" s="231">
        <f>F43-F54</f>
        <v>-2228833.5699999998</v>
      </c>
      <c r="G55" s="82"/>
      <c r="H55" s="83"/>
      <c r="I55" s="233"/>
      <c r="J55" s="13"/>
    </row>
    <row r="56" spans="2:14" s="61" customFormat="1">
      <c r="D56" s="8"/>
      <c r="E56" s="83"/>
      <c r="F56" s="151"/>
      <c r="G56" s="82"/>
      <c r="H56" s="83"/>
      <c r="I56" s="233"/>
      <c r="J56" s="13"/>
      <c r="L56" s="91"/>
    </row>
    <row r="57" spans="2:14" s="61" customFormat="1">
      <c r="D57" s="8"/>
      <c r="E57" s="83" t="s">
        <v>43</v>
      </c>
      <c r="F57" s="151">
        <v>0</v>
      </c>
      <c r="G57" s="82"/>
      <c r="H57" s="96"/>
      <c r="I57" s="228"/>
      <c r="J57" s="13"/>
      <c r="L57" s="91"/>
    </row>
    <row r="58" spans="2:14" s="61" customFormat="1">
      <c r="D58" s="8"/>
      <c r="E58" s="83" t="s">
        <v>44</v>
      </c>
      <c r="F58" s="151">
        <f>170000-60000</f>
        <v>110000</v>
      </c>
      <c r="G58" s="82"/>
      <c r="H58" s="96"/>
      <c r="I58" s="228"/>
      <c r="J58" s="13"/>
      <c r="L58" s="91"/>
    </row>
    <row r="59" spans="2:14" s="61" customFormat="1">
      <c r="D59" s="8"/>
      <c r="E59" s="83" t="s">
        <v>386</v>
      </c>
      <c r="F59" s="151">
        <v>3866.8</v>
      </c>
      <c r="G59" s="82"/>
      <c r="H59" s="83"/>
      <c r="I59" s="233"/>
      <c r="J59" s="13"/>
      <c r="L59" s="96"/>
    </row>
    <row r="60" spans="2:14" s="61" customFormat="1">
      <c r="D60" s="8"/>
      <c r="E60" s="83" t="s">
        <v>45</v>
      </c>
      <c r="F60" s="95">
        <v>1163364.29</v>
      </c>
      <c r="G60" s="8"/>
      <c r="H60" s="96"/>
      <c r="I60" s="219"/>
      <c r="J60" s="13"/>
      <c r="L60" s="96"/>
    </row>
    <row r="61" spans="2:14" s="61" customFormat="1">
      <c r="D61" s="8"/>
      <c r="E61" s="83" t="s">
        <v>205</v>
      </c>
      <c r="F61" s="95">
        <v>494208.35</v>
      </c>
      <c r="G61" s="8"/>
      <c r="J61" s="13"/>
    </row>
    <row r="62" spans="2:14" s="61" customFormat="1">
      <c r="B62"/>
      <c r="C62"/>
      <c r="D62" s="8"/>
      <c r="E62" s="83" t="s">
        <v>206</v>
      </c>
      <c r="F62" s="95">
        <v>0</v>
      </c>
      <c r="G62" s="8"/>
      <c r="J62" s="13"/>
      <c r="L62" s="83"/>
    </row>
    <row r="63" spans="2:14">
      <c r="D63" s="8"/>
      <c r="E63" s="96" t="s">
        <v>46</v>
      </c>
      <c r="F63" s="99">
        <f>SUM(F57:F62)</f>
        <v>1771439.44</v>
      </c>
      <c r="G63" s="79"/>
      <c r="H63" s="79"/>
    </row>
    <row r="64" spans="2:14">
      <c r="D64" s="8"/>
      <c r="E64" s="83"/>
      <c r="F64" s="151"/>
      <c r="G64" s="79"/>
      <c r="H64" s="79"/>
    </row>
    <row r="65" spans="1:8">
      <c r="D65" s="8"/>
      <c r="E65" s="118" t="s">
        <v>47</v>
      </c>
      <c r="F65" s="120">
        <f>+F55-F63</f>
        <v>-4000273.01</v>
      </c>
      <c r="G65" s="79"/>
      <c r="H65" s="79"/>
    </row>
    <row r="66" spans="1:8">
      <c r="D66" s="8"/>
      <c r="E66" s="8"/>
      <c r="F66" s="220"/>
      <c r="G66" s="79"/>
      <c r="H66" s="79"/>
    </row>
    <row r="67" spans="1:8">
      <c r="D67" s="8"/>
      <c r="E67" s="8"/>
      <c r="F67" s="220"/>
      <c r="G67" s="79"/>
      <c r="H67" s="79"/>
    </row>
    <row r="68" spans="1:8">
      <c r="D68" s="247" t="s">
        <v>192</v>
      </c>
      <c r="E68" s="8"/>
      <c r="F68" s="220"/>
      <c r="G68" s="127">
        <f>SUM(E76:F76)</f>
        <v>0</v>
      </c>
      <c r="H68" s="79"/>
    </row>
    <row r="69" spans="1:8">
      <c r="D69" s="247" t="s">
        <v>194</v>
      </c>
      <c r="E69" s="8"/>
      <c r="F69" s="220"/>
      <c r="G69" s="79"/>
      <c r="H69" s="79"/>
    </row>
    <row r="70" spans="1:8">
      <c r="D70" s="8" t="s">
        <v>9</v>
      </c>
      <c r="E70" s="247"/>
      <c r="F70" s="247"/>
      <c r="G70" s="79"/>
      <c r="H70" s="79"/>
    </row>
    <row r="71" spans="1:8">
      <c r="D71" s="8" t="s">
        <v>195</v>
      </c>
      <c r="E71" s="247"/>
      <c r="F71" s="248"/>
      <c r="G71" s="79"/>
      <c r="H71" s="79"/>
    </row>
    <row r="72" spans="1:8">
      <c r="D72" s="8" t="s">
        <v>188</v>
      </c>
      <c r="E72" s="249"/>
      <c r="F72" s="250"/>
      <c r="G72" s="79"/>
      <c r="H72" s="79"/>
    </row>
    <row r="73" spans="1:8">
      <c r="D73" s="8"/>
      <c r="E73" s="249"/>
      <c r="F73" s="250"/>
      <c r="G73" s="79"/>
      <c r="H73" s="79"/>
    </row>
    <row r="74" spans="1:8">
      <c r="D74" s="8"/>
      <c r="E74" s="249"/>
      <c r="F74" s="287"/>
      <c r="G74" s="79"/>
      <c r="H74" s="79"/>
    </row>
    <row r="75" spans="1:8">
      <c r="D75" s="8"/>
      <c r="E75" s="124"/>
      <c r="F75" s="287"/>
      <c r="G75" s="79"/>
      <c r="H75" s="79"/>
    </row>
    <row r="76" spans="1:8">
      <c r="D76" s="8"/>
      <c r="E76" s="8"/>
    </row>
    <row r="77" spans="1:8">
      <c r="D77" s="8"/>
      <c r="E77" s="8"/>
    </row>
    <row r="78" spans="1:8">
      <c r="A78" s="268"/>
      <c r="D78" s="8"/>
      <c r="E78" s="8"/>
    </row>
    <row r="79" spans="1:8">
      <c r="E79" s="8"/>
    </row>
    <row r="80" spans="1:8">
      <c r="B80" s="235"/>
      <c r="E80" s="8"/>
    </row>
    <row r="81" spans="1:5">
      <c r="E81" s="8"/>
    </row>
    <row r="82" spans="1:5"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93"/>
    </row>
    <row r="111" spans="1:5">
      <c r="C111" s="155"/>
      <c r="E111" s="8"/>
    </row>
    <row r="112" spans="1:5">
      <c r="A112" s="269"/>
      <c r="E112" s="293"/>
    </row>
    <row r="113" spans="1:5">
      <c r="C113" s="155"/>
      <c r="E113" s="8"/>
    </row>
    <row r="114" spans="1:5">
      <c r="A114" s="269"/>
      <c r="E114" s="277"/>
    </row>
    <row r="115" spans="1:5">
      <c r="C115" s="155"/>
      <c r="E115" s="79"/>
    </row>
    <row r="116" spans="1:5">
      <c r="A116" s="269"/>
      <c r="E116" s="277"/>
    </row>
    <row r="117" spans="1:5">
      <c r="C117" s="155"/>
      <c r="E117" s="79"/>
    </row>
    <row r="118" spans="1:5">
      <c r="A118" s="269"/>
      <c r="E118" s="277"/>
    </row>
    <row r="119" spans="1:5">
      <c r="C119" s="155"/>
      <c r="E119" s="79"/>
    </row>
    <row r="120" spans="1:5">
      <c r="A120" s="269"/>
      <c r="E120" s="277"/>
    </row>
    <row r="121" spans="1:5">
      <c r="C121" s="155"/>
      <c r="E121" s="79"/>
    </row>
    <row r="122" spans="1:5">
      <c r="A122" s="269"/>
      <c r="E122" s="277"/>
    </row>
    <row r="123" spans="1:5">
      <c r="C123" s="155"/>
      <c r="E123" s="79"/>
    </row>
    <row r="124" spans="1:5">
      <c r="A124" s="269"/>
      <c r="E124" s="277"/>
    </row>
    <row r="125" spans="1:5">
      <c r="C125" s="155"/>
      <c r="E125" s="79"/>
    </row>
    <row r="126" spans="1:5">
      <c r="A126" s="269"/>
      <c r="E126" s="277"/>
    </row>
    <row r="127" spans="1:5">
      <c r="C127" s="155"/>
    </row>
    <row r="128" spans="1:5">
      <c r="A128" s="269"/>
      <c r="E128" s="155"/>
    </row>
    <row r="129" spans="1:5">
      <c r="C129" s="155"/>
    </row>
    <row r="130" spans="1:5">
      <c r="A130" s="269"/>
      <c r="E130" s="155"/>
    </row>
    <row r="131" spans="1:5">
      <c r="C131" s="155"/>
    </row>
    <row r="132" spans="1:5">
      <c r="A132" s="269"/>
      <c r="E132" s="155"/>
    </row>
    <row r="133" spans="1:5">
      <c r="C133" s="155"/>
    </row>
    <row r="134" spans="1:5">
      <c r="A134" s="269"/>
      <c r="E134" s="155"/>
    </row>
    <row r="135" spans="1:5">
      <c r="C135" s="155"/>
    </row>
    <row r="136" spans="1:5">
      <c r="A136" s="269"/>
      <c r="E136" s="155"/>
    </row>
    <row r="137" spans="1:5">
      <c r="C137" s="155"/>
    </row>
    <row r="138" spans="1:5">
      <c r="A138" s="269"/>
      <c r="E138" s="155"/>
    </row>
    <row r="139" spans="1:5">
      <c r="C139" s="155"/>
    </row>
    <row r="140" spans="1:5">
      <c r="A140" s="269"/>
      <c r="E140" s="155"/>
    </row>
    <row r="141" spans="1:5">
      <c r="C141" s="155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C199" s="155"/>
    </row>
    <row r="200" spans="1:5">
      <c r="A200" s="269"/>
      <c r="E200" s="155"/>
    </row>
    <row r="201" spans="1:5">
      <c r="C201" s="155"/>
    </row>
    <row r="202" spans="1:5">
      <c r="A202" s="269"/>
      <c r="E202" s="155"/>
    </row>
    <row r="203" spans="1:5">
      <c r="D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5">
      <c r="C209" s="155"/>
    </row>
    <row r="210" spans="1:5">
      <c r="A210" s="269"/>
      <c r="E210" s="155"/>
    </row>
    <row r="211" spans="1:5">
      <c r="C211" s="155"/>
    </row>
    <row r="212" spans="1:5">
      <c r="A212" s="269"/>
      <c r="E212" s="155"/>
    </row>
    <row r="213" spans="1:5">
      <c r="C213" s="155"/>
    </row>
    <row r="214" spans="1:5">
      <c r="A214" s="269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85607-10F0-4573-BC53-F1DDDA23FD37}">
  <dimension ref="A6:O213"/>
  <sheetViews>
    <sheetView showGridLines="0" zoomScaleNormal="100" workbookViewId="0">
      <selection sqref="A1:XFD1048576"/>
    </sheetView>
  </sheetViews>
  <sheetFormatPr baseColWidth="10" defaultRowHeight="14.5"/>
  <cols>
    <col min="2" max="2" width="16.54296875" customWidth="1"/>
    <col min="4" max="4" width="22" customWidth="1"/>
    <col min="5" max="5" width="29.26953125" bestFit="1" customWidth="1"/>
    <col min="6" max="6" width="18.81640625" style="220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style="61" bestFit="1" customWidth="1"/>
    <col min="13" max="13" width="14" style="8" customWidth="1"/>
  </cols>
  <sheetData>
    <row r="6" spans="1:15" s="8" customFormat="1" ht="18">
      <c r="A6" s="5" t="s">
        <v>20</v>
      </c>
      <c r="B6" s="5"/>
      <c r="C6" s="5"/>
      <c r="D6" s="5"/>
      <c r="E6" s="6" t="s">
        <v>0</v>
      </c>
      <c r="F6" s="322"/>
      <c r="G6" s="5"/>
      <c r="H6" s="5"/>
      <c r="I6" s="5"/>
      <c r="J6" s="209"/>
      <c r="K6" s="5"/>
      <c r="L6" s="61"/>
    </row>
    <row r="7" spans="1:15">
      <c r="A7" s="1"/>
      <c r="B7" s="1"/>
      <c r="C7" s="1"/>
      <c r="D7" s="1"/>
      <c r="E7" s="1"/>
      <c r="F7" s="153"/>
      <c r="G7" s="1"/>
      <c r="H7" s="1"/>
      <c r="I7" s="1"/>
      <c r="J7" s="76"/>
      <c r="K7" s="1"/>
      <c r="L7" s="61" t="s">
        <v>20</v>
      </c>
    </row>
    <row r="8" spans="1:15">
      <c r="A8" s="1"/>
      <c r="B8" s="1"/>
      <c r="C8" s="1"/>
      <c r="D8" s="1"/>
      <c r="E8" s="1"/>
      <c r="F8" s="153"/>
      <c r="G8" s="1"/>
      <c r="H8" s="1"/>
      <c r="I8" s="4"/>
      <c r="J8" s="76"/>
      <c r="K8" s="76"/>
    </row>
    <row r="9" spans="1:15">
      <c r="A9" s="1"/>
      <c r="B9" s="1"/>
      <c r="C9" s="1"/>
      <c r="D9" s="1"/>
      <c r="E9" s="1"/>
      <c r="F9" s="153" t="s">
        <v>358</v>
      </c>
      <c r="G9" s="1"/>
      <c r="H9" s="1"/>
      <c r="I9" s="4"/>
      <c r="J9" s="76"/>
      <c r="K9" s="1"/>
    </row>
    <row r="10" spans="1:15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5" ht="19" thickBot="1">
      <c r="A11" s="1"/>
      <c r="B11" s="1"/>
      <c r="C11" s="1"/>
      <c r="D11" s="1"/>
      <c r="E11" s="295"/>
      <c r="F11" s="309"/>
      <c r="G11" s="296"/>
      <c r="H11" s="1"/>
      <c r="I11" s="1"/>
      <c r="J11" s="76"/>
      <c r="K11" s="1"/>
    </row>
    <row r="12" spans="1:15" ht="19" thickBot="1">
      <c r="A12" s="1"/>
      <c r="B12" s="331" t="s">
        <v>2</v>
      </c>
      <c r="C12" s="332"/>
      <c r="D12" s="332"/>
      <c r="E12" s="333"/>
      <c r="F12" s="309"/>
      <c r="G12" s="296"/>
      <c r="H12" s="1"/>
      <c r="I12" s="1"/>
      <c r="J12" s="76"/>
      <c r="K12" s="1"/>
    </row>
    <row r="13" spans="1:15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M13" s="8" t="s">
        <v>20</v>
      </c>
    </row>
    <row r="14" spans="1:15" ht="18" thickBot="1">
      <c r="A14" s="11"/>
      <c r="B14" s="334" t="s">
        <v>3</v>
      </c>
      <c r="C14" s="335"/>
      <c r="D14" s="336"/>
      <c r="E14" s="17">
        <f>SUM(E15:E17)</f>
        <v>95977.62999999999</v>
      </c>
      <c r="F14" s="264"/>
      <c r="G14" s="331" t="s">
        <v>4</v>
      </c>
      <c r="H14" s="332"/>
      <c r="I14" s="332"/>
      <c r="J14" s="332"/>
      <c r="K14" s="333"/>
      <c r="L14" s="13"/>
      <c r="N14" s="79"/>
      <c r="O14" s="79"/>
    </row>
    <row r="15" spans="1:15">
      <c r="A15" s="1"/>
      <c r="B15" s="337" t="s">
        <v>5</v>
      </c>
      <c r="C15" s="338"/>
      <c r="D15" s="339"/>
      <c r="E15" s="20">
        <f>J16+J17+J18+J19</f>
        <v>40286.9</v>
      </c>
      <c r="F15" s="153"/>
      <c r="G15" s="340" t="s">
        <v>6</v>
      </c>
      <c r="H15" s="341"/>
      <c r="I15" s="21"/>
      <c r="J15" s="342" t="s">
        <v>5</v>
      </c>
      <c r="K15" s="343"/>
      <c r="L15" s="13"/>
      <c r="N15" s="79"/>
      <c r="O15" s="79"/>
    </row>
    <row r="16" spans="1:15">
      <c r="A16" s="1"/>
      <c r="B16" s="349" t="s">
        <v>7</v>
      </c>
      <c r="C16" s="350"/>
      <c r="D16" s="351"/>
      <c r="E16" s="20">
        <f>G22+G23</f>
        <v>19825.939999999999</v>
      </c>
      <c r="F16" s="153"/>
      <c r="G16" s="22">
        <v>13475.22</v>
      </c>
      <c r="H16" s="23" t="s">
        <v>8</v>
      </c>
      <c r="I16" s="24"/>
      <c r="J16" s="25">
        <v>10891.36</v>
      </c>
      <c r="K16" s="26" t="s">
        <v>9</v>
      </c>
      <c r="L16" s="19"/>
      <c r="N16" s="79"/>
      <c r="O16" s="79"/>
    </row>
    <row r="17" spans="1:15">
      <c r="A17" s="1"/>
      <c r="B17" s="352" t="s">
        <v>6</v>
      </c>
      <c r="C17" s="353"/>
      <c r="D17" s="354"/>
      <c r="E17" s="28">
        <f>G16+G17+G18</f>
        <v>35864.789999999994</v>
      </c>
      <c r="F17" s="153">
        <f>E15+E16+E17</f>
        <v>95977.62999999999</v>
      </c>
      <c r="G17" s="22">
        <v>13596.98</v>
      </c>
      <c r="H17" s="29" t="s">
        <v>10</v>
      </c>
      <c r="I17" s="30"/>
      <c r="J17" s="25">
        <v>10805.59</v>
      </c>
      <c r="K17" s="31" t="s">
        <v>10</v>
      </c>
      <c r="L17" s="13"/>
      <c r="N17" s="79"/>
      <c r="O17" s="79"/>
    </row>
    <row r="18" spans="1:15">
      <c r="A18" s="1"/>
      <c r="B18" s="236" t="s">
        <v>187</v>
      </c>
      <c r="C18" s="237"/>
      <c r="D18" s="238"/>
      <c r="E18" s="28">
        <f>+J22</f>
        <v>5126.9500000000007</v>
      </c>
      <c r="F18" s="153">
        <v>90000</v>
      </c>
      <c r="G18" s="22">
        <f>20000+56792.59-68000</f>
        <v>8792.5899999999965</v>
      </c>
      <c r="H18" s="29" t="s">
        <v>12</v>
      </c>
      <c r="I18" s="30"/>
      <c r="J18" s="25">
        <f>10399.18-5000</f>
        <v>5399.18</v>
      </c>
      <c r="K18" s="31" t="s">
        <v>12</v>
      </c>
      <c r="L18" s="13"/>
      <c r="N18" s="79"/>
      <c r="O18" s="79"/>
    </row>
    <row r="19" spans="1:15">
      <c r="B19" s="379" t="s">
        <v>11</v>
      </c>
      <c r="C19" s="380"/>
      <c r="D19" s="381"/>
      <c r="E19" s="20">
        <f>G29+G31+G30+G28</f>
        <v>15164.7</v>
      </c>
      <c r="F19" s="153">
        <f>+F17-F18</f>
        <v>5977.6299999999901</v>
      </c>
      <c r="G19" s="33"/>
      <c r="H19" s="34"/>
      <c r="I19" s="30"/>
      <c r="J19" s="25">
        <v>13190.77</v>
      </c>
      <c r="K19" s="31" t="s">
        <v>14</v>
      </c>
      <c r="N19" s="79"/>
      <c r="O19" s="79"/>
    </row>
    <row r="20" spans="1:15">
      <c r="B20" s="344" t="s">
        <v>13</v>
      </c>
      <c r="C20" s="345"/>
      <c r="D20" s="346"/>
      <c r="E20" s="20">
        <v>20240923.670000002</v>
      </c>
      <c r="F20" s="153"/>
      <c r="G20" s="239"/>
      <c r="H20" s="240"/>
      <c r="I20" s="30"/>
      <c r="J20" s="25"/>
      <c r="K20" s="31"/>
      <c r="L20" s="32"/>
      <c r="M20" s="8" t="s">
        <v>405</v>
      </c>
      <c r="N20" s="79"/>
      <c r="O20" s="79"/>
    </row>
    <row r="21" spans="1:15">
      <c r="B21" s="187" t="s">
        <v>15</v>
      </c>
      <c r="C21" s="188"/>
      <c r="D21" s="189"/>
      <c r="E21" s="190">
        <f>SUM(E22:E25)</f>
        <v>46303.15</v>
      </c>
      <c r="F21" s="153"/>
      <c r="G21" s="361" t="s">
        <v>16</v>
      </c>
      <c r="H21" s="362"/>
      <c r="I21" s="36"/>
      <c r="J21" s="241" t="s">
        <v>187</v>
      </c>
      <c r="K21" s="242"/>
      <c r="L21" s="39"/>
      <c r="N21" s="79"/>
      <c r="O21" s="79"/>
    </row>
    <row r="22" spans="1:15" ht="15" customHeight="1">
      <c r="B22" s="303"/>
      <c r="C22" s="304"/>
      <c r="D22" s="308" t="s">
        <v>93</v>
      </c>
      <c r="E22" s="190">
        <v>46303.15</v>
      </c>
      <c r="F22" s="153"/>
      <c r="G22" s="44">
        <v>10628.64</v>
      </c>
      <c r="H22" s="29" t="s">
        <v>10</v>
      </c>
      <c r="I22" s="30"/>
      <c r="J22" s="25">
        <f>20126.95-15000</f>
        <v>5126.9500000000007</v>
      </c>
      <c r="K22" s="31" t="s">
        <v>188</v>
      </c>
      <c r="L22" s="39"/>
      <c r="N22" s="79"/>
      <c r="O22" s="79"/>
    </row>
    <row r="23" spans="1:15" ht="15" customHeight="1">
      <c r="B23" s="301"/>
      <c r="C23" s="302"/>
      <c r="D23" s="308"/>
      <c r="E23" s="190">
        <v>0</v>
      </c>
      <c r="F23" s="153"/>
      <c r="G23" s="44">
        <v>9197.2999999999993</v>
      </c>
      <c r="H23" s="29" t="s">
        <v>18</v>
      </c>
      <c r="I23" s="30"/>
      <c r="J23" s="25"/>
      <c r="K23" s="31"/>
      <c r="L23" s="39"/>
      <c r="N23" s="79"/>
      <c r="O23" s="79"/>
    </row>
    <row r="24" spans="1:15" ht="15" thickBot="1">
      <c r="B24" s="187"/>
      <c r="C24" s="188"/>
      <c r="D24" s="198"/>
      <c r="E24" s="190">
        <v>0</v>
      </c>
      <c r="F24" s="153"/>
      <c r="G24" s="51"/>
      <c r="H24" s="34"/>
      <c r="I24" s="30"/>
      <c r="J24" s="210"/>
      <c r="K24" s="53"/>
      <c r="L24" s="39"/>
      <c r="M24" s="323"/>
      <c r="N24" s="79"/>
      <c r="O24" s="79"/>
    </row>
    <row r="25" spans="1:15" ht="15" thickBot="1">
      <c r="B25" s="187"/>
      <c r="C25" s="188"/>
      <c r="D25" s="198"/>
      <c r="E25" s="190">
        <v>0</v>
      </c>
      <c r="F25" s="153"/>
      <c r="G25" s="331" t="s">
        <v>21</v>
      </c>
      <c r="H25" s="332"/>
      <c r="I25" s="332"/>
      <c r="J25" s="332"/>
      <c r="K25" s="333"/>
      <c r="N25" s="79"/>
      <c r="O25" s="79"/>
    </row>
    <row r="26" spans="1:15">
      <c r="B26" s="202" t="s">
        <v>17</v>
      </c>
      <c r="C26" s="203"/>
      <c r="D26" s="204"/>
      <c r="E26" s="234">
        <v>43559.06</v>
      </c>
      <c r="G26" s="54"/>
      <c r="H26" s="55"/>
      <c r="I26" s="56"/>
      <c r="J26" s="211"/>
      <c r="K26" s="58"/>
      <c r="N26" s="79"/>
      <c r="O26" s="79"/>
    </row>
    <row r="27" spans="1:15">
      <c r="B27" s="202" t="s">
        <v>163</v>
      </c>
      <c r="C27" s="203"/>
      <c r="D27" s="204"/>
      <c r="E27" s="234">
        <v>2135.1999999999998</v>
      </c>
      <c r="F27" s="153">
        <f>+F19</f>
        <v>5977.6299999999901</v>
      </c>
      <c r="G27" s="377" t="s">
        <v>5</v>
      </c>
      <c r="H27" s="378"/>
      <c r="I27" s="59"/>
      <c r="J27" s="60"/>
      <c r="K27" s="45"/>
      <c r="N27" s="79"/>
      <c r="O27" s="79"/>
    </row>
    <row r="28" spans="1:15">
      <c r="B28" s="199" t="s">
        <v>22</v>
      </c>
      <c r="C28" s="200"/>
      <c r="D28" s="201"/>
      <c r="E28" s="234">
        <v>0</v>
      </c>
      <c r="F28" s="288">
        <f>SUM(E26:E32)</f>
        <v>45694.259999999995</v>
      </c>
      <c r="G28" s="22">
        <v>4207.3900000000003</v>
      </c>
      <c r="H28" s="62" t="s">
        <v>9</v>
      </c>
      <c r="I28" s="59"/>
      <c r="J28" s="60"/>
      <c r="K28" s="45"/>
      <c r="N28" s="155"/>
    </row>
    <row r="29" spans="1:15">
      <c r="B29" s="199" t="s">
        <v>80</v>
      </c>
      <c r="C29" s="200"/>
      <c r="D29" s="201"/>
      <c r="E29" s="234">
        <v>0</v>
      </c>
      <c r="F29" s="153">
        <f>+F27-F28</f>
        <v>-39716.630000000005</v>
      </c>
      <c r="G29" s="22">
        <v>1712.25</v>
      </c>
      <c r="H29" s="62" t="s">
        <v>26</v>
      </c>
      <c r="I29" s="63"/>
      <c r="J29" s="64"/>
      <c r="K29" s="65"/>
    </row>
    <row r="30" spans="1:15">
      <c r="B30" s="199" t="s">
        <v>24</v>
      </c>
      <c r="C30" s="200"/>
      <c r="D30" s="201"/>
      <c r="E30" s="49">
        <v>0</v>
      </c>
      <c r="F30" s="221"/>
      <c r="G30" s="67">
        <v>1920.25</v>
      </c>
      <c r="H30" s="68" t="s">
        <v>14</v>
      </c>
      <c r="I30" s="63"/>
      <c r="J30" s="64"/>
      <c r="K30" s="65"/>
      <c r="N30" s="155"/>
    </row>
    <row r="31" spans="1:15" ht="15" thickBot="1">
      <c r="B31" s="344" t="s">
        <v>69</v>
      </c>
      <c r="C31" s="345"/>
      <c r="D31" s="346"/>
      <c r="E31" s="234">
        <v>0</v>
      </c>
      <c r="G31" s="71">
        <v>7324.81</v>
      </c>
      <c r="H31" s="72" t="s">
        <v>12</v>
      </c>
      <c r="I31" s="73"/>
      <c r="J31" s="74"/>
      <c r="K31" s="75"/>
    </row>
    <row r="32" spans="1:15" ht="15" thickBot="1">
      <c r="B32" s="363" t="s">
        <v>29</v>
      </c>
      <c r="C32" s="364"/>
      <c r="D32" s="365"/>
      <c r="E32" s="66">
        <v>0</v>
      </c>
      <c r="N32" s="155"/>
    </row>
    <row r="33" spans="2:14">
      <c r="E33" s="61"/>
    </row>
    <row r="34" spans="2:14">
      <c r="E34" s="61"/>
      <c r="H34" s="61"/>
      <c r="I34" s="61"/>
      <c r="J34" s="39"/>
      <c r="K34" s="61"/>
      <c r="N34" s="155"/>
    </row>
    <row r="35" spans="2:14">
      <c r="E35" s="61"/>
      <c r="G35" s="8"/>
      <c r="H35" s="61"/>
      <c r="I35" s="61"/>
      <c r="J35" s="39"/>
      <c r="K35" s="61"/>
    </row>
    <row r="36" spans="2:14">
      <c r="D36" s="8"/>
      <c r="E36" s="8"/>
      <c r="G36" s="8"/>
      <c r="H36" s="13"/>
      <c r="I36" s="61"/>
      <c r="J36" s="13"/>
      <c r="K36" s="83"/>
      <c r="N36" s="155"/>
    </row>
    <row r="37" spans="2:14">
      <c r="B37" s="61"/>
      <c r="C37" s="61"/>
      <c r="D37" s="8"/>
      <c r="E37" s="110" t="s">
        <v>417</v>
      </c>
      <c r="F37" s="299"/>
      <c r="G37" s="181"/>
      <c r="H37" s="161"/>
      <c r="I37" s="197"/>
      <c r="J37" s="13"/>
      <c r="K37" s="83"/>
    </row>
    <row r="38" spans="2:14" s="61" customFormat="1" ht="15" customHeight="1">
      <c r="D38" s="8"/>
      <c r="E38" s="110"/>
      <c r="F38" s="299"/>
      <c r="G38" s="86"/>
      <c r="I38" s="197"/>
      <c r="J38" s="13"/>
      <c r="K38" s="83"/>
      <c r="L38" s="88"/>
      <c r="M38" s="8"/>
      <c r="N38" s="273"/>
    </row>
    <row r="39" spans="2:14" s="61" customFormat="1" ht="15" customHeight="1">
      <c r="D39" s="8"/>
      <c r="E39" s="82" t="s">
        <v>34</v>
      </c>
      <c r="F39" s="299">
        <f>F19</f>
        <v>5977.6299999999901</v>
      </c>
      <c r="G39" s="86"/>
      <c r="H39" s="161"/>
      <c r="I39" s="197"/>
      <c r="J39" s="13"/>
      <c r="K39" s="85"/>
      <c r="L39" s="161"/>
      <c r="M39" s="8"/>
    </row>
    <row r="40" spans="2:14" s="61" customFormat="1" ht="15" customHeight="1">
      <c r="D40" s="8"/>
      <c r="E40" s="82" t="s">
        <v>35</v>
      </c>
      <c r="F40" s="299">
        <f>+E19</f>
        <v>15164.7</v>
      </c>
      <c r="G40" s="86"/>
      <c r="I40" s="214"/>
      <c r="J40" s="13"/>
      <c r="K40" s="87"/>
      <c r="L40" s="161"/>
      <c r="M40" s="8"/>
      <c r="N40" s="273"/>
    </row>
    <row r="41" spans="2:14" s="61" customFormat="1" ht="15" customHeight="1">
      <c r="D41" s="8"/>
      <c r="E41" s="82" t="s">
        <v>36</v>
      </c>
      <c r="F41" s="299">
        <v>0</v>
      </c>
      <c r="G41" s="9"/>
      <c r="I41" s="197"/>
      <c r="J41" s="13"/>
      <c r="M41" s="8"/>
    </row>
    <row r="42" spans="2:14" s="61" customFormat="1" ht="15" customHeight="1">
      <c r="D42" s="8"/>
      <c r="E42" s="82" t="s">
        <v>37</v>
      </c>
      <c r="F42" s="299">
        <v>0</v>
      </c>
      <c r="G42" s="9"/>
      <c r="I42" s="197"/>
      <c r="J42" s="13"/>
      <c r="M42" s="8"/>
      <c r="N42" s="273"/>
    </row>
    <row r="43" spans="2:14" s="61" customFormat="1" ht="15" customHeight="1">
      <c r="D43" s="8"/>
      <c r="E43" s="112" t="s">
        <v>38</v>
      </c>
      <c r="F43" s="225">
        <f>SUM(F39:F42)</f>
        <v>21142.329999999991</v>
      </c>
      <c r="G43" s="9"/>
      <c r="H43" s="163"/>
      <c r="I43" s="229"/>
      <c r="J43" s="13"/>
      <c r="M43" s="8"/>
    </row>
    <row r="44" spans="2:14" s="61" customFormat="1" ht="15" customHeight="1">
      <c r="D44" s="8"/>
      <c r="E44" s="113"/>
      <c r="F44" s="226"/>
      <c r="G44" s="9"/>
      <c r="H44" s="165"/>
      <c r="I44" s="230"/>
      <c r="J44" s="13"/>
      <c r="M44" s="8"/>
      <c r="N44" s="273"/>
    </row>
    <row r="45" spans="2:14" s="61" customFormat="1" ht="15" customHeight="1">
      <c r="D45" s="8"/>
      <c r="E45" s="113" t="s">
        <v>152</v>
      </c>
      <c r="F45" s="226">
        <v>320000</v>
      </c>
      <c r="G45" s="9"/>
      <c r="H45" s="165"/>
      <c r="I45" s="230"/>
      <c r="J45" s="13"/>
      <c r="M45" s="8"/>
      <c r="N45" s="273"/>
    </row>
    <row r="46" spans="2:14" s="61" customFormat="1" ht="15" customHeight="1">
      <c r="D46" s="8"/>
      <c r="E46" s="113" t="s">
        <v>80</v>
      </c>
      <c r="F46" s="226">
        <v>0</v>
      </c>
      <c r="G46" s="9"/>
      <c r="H46" s="165"/>
      <c r="I46" s="230"/>
      <c r="J46" s="13"/>
      <c r="M46" s="8"/>
      <c r="N46" s="273"/>
    </row>
    <row r="47" spans="2:14" s="61" customFormat="1" ht="15" customHeight="1">
      <c r="D47" s="8"/>
      <c r="E47" s="113" t="s">
        <v>418</v>
      </c>
      <c r="F47" s="226">
        <v>160000</v>
      </c>
      <c r="G47" s="9"/>
      <c r="H47" s="165"/>
      <c r="I47" s="230"/>
      <c r="J47" s="13"/>
      <c r="M47" s="8"/>
      <c r="N47" s="273"/>
    </row>
    <row r="48" spans="2:14" s="61" customFormat="1" ht="15" customHeight="1">
      <c r="D48" s="8"/>
      <c r="E48" s="113" t="s">
        <v>81</v>
      </c>
      <c r="F48" s="226">
        <v>1700000</v>
      </c>
      <c r="G48" s="9"/>
      <c r="H48" s="165"/>
      <c r="I48" s="230"/>
      <c r="J48" s="13"/>
      <c r="M48" s="8"/>
      <c r="N48" s="273"/>
    </row>
    <row r="49" spans="2:14" s="61" customFormat="1" ht="15" customHeight="1">
      <c r="D49" s="8"/>
      <c r="E49" s="113" t="s">
        <v>69</v>
      </c>
      <c r="F49" s="226">
        <v>60000</v>
      </c>
      <c r="G49" s="9"/>
      <c r="H49" s="165"/>
      <c r="I49" s="230"/>
      <c r="J49" s="13"/>
      <c r="M49" s="8"/>
      <c r="N49" s="273"/>
    </row>
    <row r="50" spans="2:14" s="61" customFormat="1" ht="15" customHeight="1">
      <c r="D50" s="8"/>
      <c r="E50" s="116" t="s">
        <v>24</v>
      </c>
      <c r="F50" s="221">
        <f>15000+65000+18000</f>
        <v>98000</v>
      </c>
      <c r="G50" s="8"/>
      <c r="H50" s="91"/>
      <c r="I50" s="231"/>
      <c r="J50" s="13"/>
      <c r="M50" s="8"/>
    </row>
    <row r="51" spans="2:14" s="61" customFormat="1" ht="15" customHeight="1">
      <c r="D51" s="8"/>
      <c r="E51" s="116" t="s">
        <v>22</v>
      </c>
      <c r="F51" s="221">
        <v>50000</v>
      </c>
      <c r="G51" s="8"/>
      <c r="H51" s="96"/>
      <c r="I51" s="231"/>
      <c r="J51" s="262"/>
      <c r="M51" s="8"/>
    </row>
    <row r="52" spans="2:14" s="61" customFormat="1">
      <c r="D52" s="8"/>
      <c r="E52" s="116" t="s">
        <v>40</v>
      </c>
      <c r="F52" s="226">
        <v>180000</v>
      </c>
      <c r="G52" s="82"/>
      <c r="H52" s="83"/>
      <c r="I52" s="228"/>
      <c r="J52" s="13"/>
      <c r="M52" s="8"/>
    </row>
    <row r="53" spans="2:14" s="61" customFormat="1">
      <c r="D53" s="8"/>
      <c r="E53" s="118" t="s">
        <v>41</v>
      </c>
      <c r="F53" s="225">
        <f>SUM(F45:F52)</f>
        <v>2568000</v>
      </c>
      <c r="G53" s="82"/>
      <c r="H53" s="83"/>
      <c r="I53" s="233"/>
      <c r="J53" s="13"/>
      <c r="M53" s="8"/>
    </row>
    <row r="54" spans="2:14" s="61" customFormat="1">
      <c r="D54" s="8"/>
      <c r="E54" s="118" t="s">
        <v>42</v>
      </c>
      <c r="F54" s="225">
        <f>F43-F53</f>
        <v>-2546857.67</v>
      </c>
      <c r="G54" s="82"/>
      <c r="H54" s="83"/>
      <c r="I54" s="233"/>
      <c r="J54" s="13"/>
      <c r="M54" s="8"/>
    </row>
    <row r="55" spans="2:14" s="61" customFormat="1">
      <c r="D55" s="8"/>
      <c r="E55" s="82"/>
      <c r="F55" s="80"/>
      <c r="G55" s="82"/>
      <c r="H55" s="83"/>
      <c r="I55" s="233"/>
      <c r="J55" s="13"/>
      <c r="L55" s="91"/>
      <c r="M55" s="8"/>
    </row>
    <row r="56" spans="2:14" s="61" customFormat="1">
      <c r="D56" s="8"/>
      <c r="E56" s="82" t="s">
        <v>43</v>
      </c>
      <c r="F56" s="80">
        <v>0</v>
      </c>
      <c r="G56" s="82"/>
      <c r="H56" s="96"/>
      <c r="I56" s="228"/>
      <c r="J56" s="13"/>
      <c r="L56" s="91"/>
      <c r="M56" s="8"/>
    </row>
    <row r="57" spans="2:14" s="61" customFormat="1">
      <c r="D57" s="8"/>
      <c r="E57" s="82" t="s">
        <v>44</v>
      </c>
      <c r="F57" s="80">
        <f>170000-60000-15000+390000</f>
        <v>485000</v>
      </c>
      <c r="G57" s="82"/>
      <c r="H57" s="96"/>
      <c r="I57" s="228"/>
      <c r="J57" s="13"/>
      <c r="L57" s="91"/>
      <c r="M57" s="8"/>
    </row>
    <row r="58" spans="2:14" s="61" customFormat="1">
      <c r="D58" s="8"/>
      <c r="E58" s="82" t="s">
        <v>386</v>
      </c>
      <c r="F58" s="80">
        <v>3866.8</v>
      </c>
      <c r="G58" s="82"/>
      <c r="H58" s="83"/>
      <c r="I58" s="233"/>
      <c r="J58" s="13"/>
      <c r="L58" s="96"/>
      <c r="M58" s="8"/>
    </row>
    <row r="59" spans="2:14" s="61" customFormat="1">
      <c r="D59" s="8"/>
      <c r="E59" s="82" t="s">
        <v>45</v>
      </c>
      <c r="F59" s="117">
        <v>1163364.29</v>
      </c>
      <c r="G59" s="8"/>
      <c r="H59" s="96"/>
      <c r="I59" s="219"/>
      <c r="J59" s="13"/>
      <c r="L59" s="96"/>
      <c r="M59" s="8"/>
    </row>
    <row r="60" spans="2:14" s="61" customFormat="1">
      <c r="D60" s="8"/>
      <c r="E60" s="82" t="s">
        <v>205</v>
      </c>
      <c r="F60" s="117">
        <v>495730.05</v>
      </c>
      <c r="G60" s="8"/>
      <c r="J60" s="13"/>
      <c r="M60" s="8"/>
    </row>
    <row r="61" spans="2:14" s="61" customFormat="1">
      <c r="B61"/>
      <c r="C61"/>
      <c r="D61" s="8"/>
      <c r="E61" s="82" t="s">
        <v>206</v>
      </c>
      <c r="F61" s="117">
        <v>1500000</v>
      </c>
      <c r="G61" s="8"/>
      <c r="J61" s="13"/>
      <c r="L61" s="83"/>
      <c r="M61" s="8"/>
    </row>
    <row r="62" spans="2:14">
      <c r="D62" s="8"/>
      <c r="E62" s="118" t="s">
        <v>46</v>
      </c>
      <c r="F62" s="120">
        <f>SUM(F56:F61)</f>
        <v>3647961.14</v>
      </c>
      <c r="G62" s="79"/>
      <c r="H62" s="79"/>
    </row>
    <row r="63" spans="2:14">
      <c r="D63" s="8"/>
      <c r="E63" s="82"/>
      <c r="F63" s="80"/>
      <c r="G63" s="79"/>
      <c r="H63" s="79"/>
    </row>
    <row r="64" spans="2:14">
      <c r="D64" s="8"/>
      <c r="E64" s="118" t="s">
        <v>47</v>
      </c>
      <c r="F64" s="120">
        <f>+F54-F62</f>
        <v>-6194818.8100000005</v>
      </c>
      <c r="G64" s="79"/>
      <c r="H64" s="79"/>
    </row>
    <row r="65" spans="1:8">
      <c r="D65" s="8"/>
      <c r="E65" s="8"/>
      <c r="G65" s="79"/>
      <c r="H65" s="79"/>
    </row>
    <row r="66" spans="1:8">
      <c r="D66" s="8"/>
      <c r="E66" s="61"/>
      <c r="G66" s="79"/>
      <c r="H66" s="79"/>
    </row>
    <row r="67" spans="1:8">
      <c r="D67" s="247" t="s">
        <v>192</v>
      </c>
      <c r="E67" s="8"/>
      <c r="G67" s="127">
        <f>SUM(E75:F75)</f>
        <v>0</v>
      </c>
      <c r="H67" s="79"/>
    </row>
    <row r="68" spans="1:8">
      <c r="D68" s="247" t="s">
        <v>194</v>
      </c>
      <c r="E68" s="8"/>
      <c r="G68" s="79"/>
      <c r="H68" s="79"/>
    </row>
    <row r="69" spans="1:8">
      <c r="D69" s="8" t="s">
        <v>9</v>
      </c>
      <c r="E69" s="247"/>
      <c r="F69" s="247"/>
      <c r="G69" s="79"/>
      <c r="H69" s="79"/>
    </row>
    <row r="70" spans="1:8">
      <c r="D70" s="8" t="s">
        <v>195</v>
      </c>
      <c r="E70" s="247"/>
      <c r="F70" s="248"/>
      <c r="G70" s="79"/>
      <c r="H70" s="79"/>
    </row>
    <row r="71" spans="1:8">
      <c r="D71" s="8" t="s">
        <v>188</v>
      </c>
      <c r="E71" s="249"/>
      <c r="F71" s="250"/>
      <c r="G71" s="79"/>
      <c r="H71" s="79"/>
    </row>
    <row r="72" spans="1:8">
      <c r="D72" s="8"/>
      <c r="E72" s="249"/>
      <c r="F72" s="250"/>
      <c r="G72" s="79"/>
      <c r="H72" s="79"/>
    </row>
    <row r="73" spans="1:8">
      <c r="D73" s="8"/>
      <c r="E73" s="249"/>
      <c r="F73" s="250"/>
      <c r="G73" s="79"/>
      <c r="H73" s="79"/>
    </row>
    <row r="74" spans="1:8">
      <c r="D74" s="8"/>
      <c r="E74" s="124"/>
      <c r="F74" s="250"/>
      <c r="G74" s="79"/>
      <c r="H74" s="79"/>
    </row>
    <row r="75" spans="1:8">
      <c r="D75" s="8"/>
      <c r="E75" s="8"/>
    </row>
    <row r="76" spans="1:8">
      <c r="D76" s="8"/>
      <c r="E76" s="8"/>
    </row>
    <row r="77" spans="1:8">
      <c r="A77" s="268"/>
      <c r="D77" s="8"/>
      <c r="E77" s="8"/>
    </row>
    <row r="78" spans="1:8">
      <c r="E78" s="8"/>
    </row>
    <row r="79" spans="1:8">
      <c r="B79" s="235"/>
      <c r="E79" s="8"/>
    </row>
    <row r="80" spans="1:8">
      <c r="E80" s="8"/>
    </row>
    <row r="81" spans="1:5">
      <c r="E81" s="293"/>
    </row>
    <row r="82" spans="1:5">
      <c r="C82" s="155"/>
      <c r="E82" s="8"/>
    </row>
    <row r="83" spans="1:5">
      <c r="A83" s="269"/>
      <c r="E83" s="293"/>
    </row>
    <row r="84" spans="1:5">
      <c r="C84" s="155"/>
      <c r="E84" s="8"/>
    </row>
    <row r="85" spans="1:5">
      <c r="A85" s="269"/>
      <c r="E85" s="293"/>
    </row>
    <row r="86" spans="1:5">
      <c r="C86" s="155"/>
      <c r="E86" s="8"/>
    </row>
    <row r="87" spans="1:5">
      <c r="A87" s="269"/>
      <c r="E87" s="293"/>
    </row>
    <row r="88" spans="1:5">
      <c r="C88" s="155"/>
      <c r="E88" s="8"/>
    </row>
    <row r="89" spans="1:5">
      <c r="A89" s="269"/>
      <c r="E89" s="293"/>
    </row>
    <row r="90" spans="1:5">
      <c r="C90" s="155"/>
      <c r="E90" s="8"/>
    </row>
    <row r="91" spans="1:5">
      <c r="A91" s="269"/>
      <c r="E91" s="293"/>
    </row>
    <row r="92" spans="1:5">
      <c r="C92" s="155"/>
      <c r="E92" s="8"/>
    </row>
    <row r="93" spans="1:5">
      <c r="A93" s="269"/>
      <c r="E93" s="293"/>
    </row>
    <row r="94" spans="1:5">
      <c r="C94" s="155"/>
      <c r="E94" s="8"/>
    </row>
    <row r="95" spans="1:5">
      <c r="A95" s="269"/>
      <c r="E95" s="293"/>
    </row>
    <row r="96" spans="1:5">
      <c r="C96" s="155"/>
      <c r="E96" s="8"/>
    </row>
    <row r="97" spans="1:5">
      <c r="A97" s="269"/>
      <c r="E97" s="293"/>
    </row>
    <row r="98" spans="1:5">
      <c r="C98" s="155"/>
      <c r="E98" s="8"/>
    </row>
    <row r="99" spans="1:5">
      <c r="A99" s="269"/>
      <c r="E99" s="293"/>
    </row>
    <row r="100" spans="1:5">
      <c r="C100" s="155"/>
      <c r="E100" s="8"/>
    </row>
    <row r="101" spans="1:5">
      <c r="A101" s="269"/>
      <c r="E101" s="293"/>
    </row>
    <row r="102" spans="1:5">
      <c r="C102" s="155"/>
      <c r="E102" s="8"/>
    </row>
    <row r="103" spans="1:5">
      <c r="A103" s="269"/>
      <c r="E103" s="293"/>
    </row>
    <row r="104" spans="1:5">
      <c r="C104" s="155"/>
      <c r="E104" s="8"/>
    </row>
    <row r="105" spans="1:5">
      <c r="A105" s="269"/>
      <c r="E105" s="293"/>
    </row>
    <row r="106" spans="1:5">
      <c r="C106" s="155"/>
      <c r="E106" s="8"/>
    </row>
    <row r="107" spans="1:5">
      <c r="A107" s="269"/>
      <c r="E107" s="293"/>
    </row>
    <row r="108" spans="1:5">
      <c r="C108" s="155"/>
      <c r="E108" s="8"/>
    </row>
    <row r="109" spans="1:5">
      <c r="A109" s="269"/>
      <c r="E109" s="293"/>
    </row>
    <row r="110" spans="1:5">
      <c r="C110" s="155"/>
      <c r="E110" s="8"/>
    </row>
    <row r="111" spans="1:5">
      <c r="A111" s="269"/>
      <c r="E111" s="293"/>
    </row>
    <row r="112" spans="1:5">
      <c r="C112" s="155"/>
      <c r="E112" s="8"/>
    </row>
    <row r="113" spans="1:5">
      <c r="A113" s="269"/>
      <c r="E113" s="293"/>
    </row>
    <row r="114" spans="1:5">
      <c r="C114" s="155"/>
      <c r="E114" s="8"/>
    </row>
    <row r="115" spans="1:5">
      <c r="A115" s="269"/>
      <c r="E115" s="293"/>
    </row>
    <row r="116" spans="1:5">
      <c r="C116" s="155"/>
      <c r="E116" s="8"/>
    </row>
    <row r="117" spans="1:5">
      <c r="A117" s="269"/>
      <c r="E117" s="293"/>
    </row>
    <row r="118" spans="1:5">
      <c r="C118" s="155"/>
      <c r="E118" s="8"/>
    </row>
    <row r="119" spans="1:5">
      <c r="A119" s="269"/>
      <c r="E119" s="293"/>
    </row>
    <row r="120" spans="1:5">
      <c r="C120" s="155"/>
      <c r="E120" s="8"/>
    </row>
    <row r="121" spans="1:5">
      <c r="A121" s="269"/>
      <c r="E121" s="293"/>
    </row>
    <row r="122" spans="1:5">
      <c r="C122" s="155"/>
      <c r="E122" s="8"/>
    </row>
    <row r="123" spans="1:5">
      <c r="A123" s="269"/>
      <c r="E123" s="293"/>
    </row>
    <row r="124" spans="1:5">
      <c r="C124" s="155"/>
      <c r="E124" s="8"/>
    </row>
    <row r="125" spans="1:5">
      <c r="A125" s="269"/>
      <c r="E125" s="293"/>
    </row>
    <row r="126" spans="1:5">
      <c r="C126" s="155"/>
      <c r="E126" s="8"/>
    </row>
    <row r="127" spans="1:5">
      <c r="A127" s="269"/>
      <c r="E127" s="293"/>
    </row>
    <row r="128" spans="1:5">
      <c r="C128" s="155"/>
      <c r="E128" s="8"/>
    </row>
    <row r="129" spans="1:5">
      <c r="A129" s="269"/>
      <c r="E129" s="293"/>
    </row>
    <row r="130" spans="1:5">
      <c r="C130" s="155"/>
      <c r="E130" s="8"/>
    </row>
    <row r="131" spans="1:5">
      <c r="A131" s="269"/>
      <c r="E131" s="293"/>
    </row>
    <row r="132" spans="1:5">
      <c r="C132" s="155"/>
      <c r="E132" s="8"/>
    </row>
    <row r="133" spans="1:5">
      <c r="A133" s="269"/>
      <c r="E133" s="293"/>
    </row>
    <row r="134" spans="1:5">
      <c r="C134" s="155"/>
      <c r="E134" s="8"/>
    </row>
    <row r="135" spans="1:5">
      <c r="A135" s="269"/>
      <c r="E135" s="293"/>
    </row>
    <row r="136" spans="1:5">
      <c r="C136" s="155"/>
      <c r="E136" s="8"/>
    </row>
    <row r="137" spans="1:5">
      <c r="A137" s="269"/>
      <c r="E137" s="293"/>
    </row>
    <row r="138" spans="1:5">
      <c r="C138" s="155"/>
      <c r="E138" s="8"/>
    </row>
    <row r="139" spans="1:5">
      <c r="A139" s="269"/>
      <c r="E139" s="293"/>
    </row>
    <row r="140" spans="1:5">
      <c r="C140" s="155"/>
      <c r="E140" s="8"/>
    </row>
    <row r="141" spans="1:5">
      <c r="A141" s="269"/>
      <c r="E141" s="293"/>
    </row>
    <row r="142" spans="1:5">
      <c r="C142" s="155"/>
      <c r="E142" s="8"/>
    </row>
    <row r="143" spans="1:5">
      <c r="A143" s="269"/>
      <c r="E143" s="155"/>
    </row>
    <row r="144" spans="1:5">
      <c r="C144" s="155"/>
    </row>
    <row r="145" spans="1:5">
      <c r="A145" s="269"/>
      <c r="E145" s="155"/>
    </row>
    <row r="146" spans="1:5">
      <c r="C146" s="155"/>
    </row>
    <row r="147" spans="1:5">
      <c r="A147" s="269"/>
      <c r="E147" s="155"/>
    </row>
    <row r="148" spans="1:5">
      <c r="C148" s="155"/>
    </row>
    <row r="149" spans="1:5">
      <c r="A149" s="269"/>
      <c r="E149" s="155"/>
    </row>
    <row r="150" spans="1:5">
      <c r="C150" s="155"/>
    </row>
    <row r="151" spans="1:5">
      <c r="A151" s="269"/>
      <c r="E151" s="155"/>
    </row>
    <row r="152" spans="1:5">
      <c r="C152" s="155"/>
    </row>
    <row r="153" spans="1:5">
      <c r="A153" s="269"/>
      <c r="E153" s="155"/>
    </row>
    <row r="154" spans="1:5">
      <c r="C154" s="155"/>
    </row>
    <row r="155" spans="1:5">
      <c r="A155" s="269"/>
      <c r="E155" s="155"/>
    </row>
    <row r="156" spans="1:5">
      <c r="C156" s="155"/>
    </row>
    <row r="157" spans="1:5">
      <c r="A157" s="269"/>
      <c r="E157" s="155"/>
    </row>
    <row r="158" spans="1:5">
      <c r="C158" s="155"/>
    </row>
    <row r="159" spans="1:5">
      <c r="A159" s="269"/>
      <c r="E159" s="155"/>
    </row>
    <row r="160" spans="1:5">
      <c r="C160" s="155"/>
    </row>
    <row r="161" spans="1:5">
      <c r="A161" s="269"/>
      <c r="E161" s="155"/>
    </row>
    <row r="162" spans="1:5">
      <c r="C162" s="155"/>
    </row>
    <row r="163" spans="1:5">
      <c r="A163" s="269"/>
      <c r="E163" s="155"/>
    </row>
    <row r="164" spans="1:5">
      <c r="C164" s="155"/>
    </row>
    <row r="165" spans="1:5">
      <c r="A165" s="269"/>
      <c r="E165" s="155"/>
    </row>
    <row r="166" spans="1:5">
      <c r="C166" s="155"/>
    </row>
    <row r="167" spans="1:5">
      <c r="A167" s="269"/>
      <c r="E167" s="155"/>
    </row>
    <row r="168" spans="1:5">
      <c r="C168" s="155"/>
    </row>
    <row r="169" spans="1:5">
      <c r="A169" s="269"/>
      <c r="E169" s="155"/>
    </row>
    <row r="170" spans="1:5">
      <c r="C170" s="155"/>
    </row>
    <row r="171" spans="1:5">
      <c r="A171" s="269"/>
      <c r="E171" s="155"/>
    </row>
    <row r="172" spans="1:5">
      <c r="C172" s="155"/>
    </row>
    <row r="173" spans="1:5">
      <c r="A173" s="269"/>
      <c r="E173" s="155"/>
    </row>
    <row r="174" spans="1:5">
      <c r="C174" s="155"/>
    </row>
    <row r="175" spans="1:5">
      <c r="A175" s="269"/>
      <c r="E175" s="155"/>
    </row>
    <row r="176" spans="1:5">
      <c r="C176" s="155"/>
    </row>
    <row r="177" spans="1:5">
      <c r="A177" s="269"/>
      <c r="E177" s="155"/>
    </row>
    <row r="178" spans="1:5">
      <c r="C178" s="155"/>
    </row>
    <row r="179" spans="1:5">
      <c r="A179" s="269"/>
      <c r="E179" s="155"/>
    </row>
    <row r="180" spans="1:5">
      <c r="C180" s="155"/>
    </row>
    <row r="181" spans="1:5">
      <c r="A181" s="269"/>
      <c r="E181" s="155"/>
    </row>
    <row r="182" spans="1:5">
      <c r="C182" s="155"/>
    </row>
    <row r="183" spans="1:5">
      <c r="A183" s="269"/>
      <c r="E183" s="155"/>
    </row>
    <row r="184" spans="1:5">
      <c r="C184" s="155"/>
    </row>
    <row r="185" spans="1:5">
      <c r="A185" s="269"/>
      <c r="E185" s="155"/>
    </row>
    <row r="186" spans="1:5">
      <c r="C186" s="155"/>
    </row>
    <row r="187" spans="1:5">
      <c r="A187" s="269"/>
      <c r="E187" s="155"/>
    </row>
    <row r="188" spans="1:5">
      <c r="C188" s="155"/>
    </row>
    <row r="189" spans="1:5">
      <c r="A189" s="269"/>
      <c r="E189" s="155"/>
    </row>
    <row r="190" spans="1:5">
      <c r="C190" s="155"/>
    </row>
    <row r="191" spans="1:5">
      <c r="A191" s="269"/>
      <c r="E191" s="155"/>
    </row>
    <row r="192" spans="1:5">
      <c r="C192" s="155"/>
    </row>
    <row r="193" spans="1:5">
      <c r="A193" s="269"/>
      <c r="E193" s="155"/>
    </row>
    <row r="194" spans="1:5">
      <c r="C194" s="155"/>
    </row>
    <row r="195" spans="1:5">
      <c r="A195" s="269"/>
      <c r="E195" s="155"/>
    </row>
    <row r="196" spans="1:5">
      <c r="C196" s="155"/>
    </row>
    <row r="197" spans="1:5">
      <c r="A197" s="269"/>
      <c r="E197" s="155"/>
    </row>
    <row r="198" spans="1:5">
      <c r="C198" s="155"/>
    </row>
    <row r="199" spans="1:5">
      <c r="A199" s="269"/>
      <c r="E199" s="155"/>
    </row>
    <row r="200" spans="1:5">
      <c r="C200" s="155"/>
    </row>
    <row r="201" spans="1:5">
      <c r="A201" s="269"/>
      <c r="E201" s="155"/>
    </row>
    <row r="202" spans="1:5">
      <c r="D202" s="155"/>
    </row>
    <row r="203" spans="1:5">
      <c r="A203" s="269"/>
      <c r="E203" s="155"/>
    </row>
    <row r="204" spans="1:5">
      <c r="C204" s="155"/>
    </row>
    <row r="205" spans="1:5">
      <c r="A205" s="269"/>
      <c r="E205" s="155"/>
    </row>
    <row r="206" spans="1:5">
      <c r="C206" s="155"/>
    </row>
    <row r="207" spans="1:5">
      <c r="A207" s="269"/>
      <c r="E207" s="155"/>
    </row>
    <row r="208" spans="1:5">
      <c r="C208" s="155"/>
    </row>
    <row r="209" spans="1:5">
      <c r="A209" s="269"/>
      <c r="E209" s="155"/>
    </row>
    <row r="210" spans="1:5">
      <c r="C210" s="155"/>
    </row>
    <row r="211" spans="1:5">
      <c r="A211" s="269"/>
      <c r="E211" s="155"/>
    </row>
    <row r="212" spans="1:5">
      <c r="C212" s="155"/>
    </row>
    <row r="213" spans="1:5">
      <c r="A213" s="269"/>
    </row>
  </sheetData>
  <mergeCells count="16"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7EFDB-4299-4FF7-8FBC-1CE12327F529}">
  <dimension ref="A6:O213"/>
  <sheetViews>
    <sheetView showGridLines="0" topLeftCell="A14" workbookViewId="0">
      <selection activeCell="A14" sqref="A1:XFD1048576"/>
    </sheetView>
  </sheetViews>
  <sheetFormatPr baseColWidth="10" defaultRowHeight="14.5"/>
  <cols>
    <col min="2" max="2" width="16.54296875" customWidth="1"/>
    <col min="4" max="4" width="22" customWidth="1"/>
    <col min="5" max="5" width="29.26953125" bestFit="1" customWidth="1"/>
    <col min="6" max="6" width="18.81640625" style="220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style="61" bestFit="1" customWidth="1"/>
    <col min="13" max="13" width="14" style="79" customWidth="1"/>
  </cols>
  <sheetData>
    <row r="6" spans="1:15" s="8" customFormat="1" ht="18">
      <c r="A6" s="5" t="s">
        <v>20</v>
      </c>
      <c r="B6" s="5"/>
      <c r="C6" s="5"/>
      <c r="D6" s="5"/>
      <c r="E6" s="6" t="s">
        <v>0</v>
      </c>
      <c r="F6" s="322"/>
      <c r="G6" s="5"/>
      <c r="H6" s="5"/>
      <c r="I6" s="5"/>
      <c r="J6" s="209"/>
      <c r="K6" s="5"/>
      <c r="L6" s="61"/>
      <c r="M6" s="79"/>
    </row>
    <row r="7" spans="1:15">
      <c r="A7" s="1"/>
      <c r="B7" s="1"/>
      <c r="C7" s="1"/>
      <c r="D7" s="1"/>
      <c r="E7" s="1"/>
      <c r="F7" s="153"/>
      <c r="G7" s="1"/>
      <c r="H7" s="1"/>
      <c r="I7" s="1"/>
      <c r="J7" s="76"/>
      <c r="K7" s="1"/>
      <c r="L7" s="61" t="s">
        <v>20</v>
      </c>
    </row>
    <row r="8" spans="1:15">
      <c r="A8" s="1"/>
      <c r="B8" s="1"/>
      <c r="C8" s="1"/>
      <c r="D8" s="1"/>
      <c r="E8" s="1"/>
      <c r="F8" s="153"/>
      <c r="G8" s="1"/>
      <c r="H8" s="1"/>
      <c r="I8" s="4"/>
      <c r="J8" s="76"/>
      <c r="K8" s="76"/>
    </row>
    <row r="9" spans="1:15">
      <c r="A9" s="1"/>
      <c r="B9" s="1"/>
      <c r="C9" s="1"/>
      <c r="D9" s="1"/>
      <c r="E9" s="1"/>
      <c r="F9" s="153" t="s">
        <v>358</v>
      </c>
      <c r="G9" s="1"/>
      <c r="H9" s="1"/>
      <c r="I9" s="4"/>
      <c r="J9" s="76"/>
      <c r="K9" s="1"/>
    </row>
    <row r="10" spans="1:15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5" ht="19" thickBot="1">
      <c r="A11" s="1"/>
      <c r="B11" s="1"/>
      <c r="C11" s="1"/>
      <c r="D11" s="1"/>
      <c r="E11" s="295"/>
      <c r="F11" s="309"/>
      <c r="G11" s="296"/>
      <c r="H11" s="1"/>
      <c r="I11" s="1"/>
      <c r="J11" s="76"/>
      <c r="K11" s="1"/>
    </row>
    <row r="12" spans="1:15" ht="19" thickBot="1">
      <c r="A12" s="1"/>
      <c r="B12" s="331" t="s">
        <v>2</v>
      </c>
      <c r="C12" s="332"/>
      <c r="D12" s="332"/>
      <c r="E12" s="333"/>
      <c r="F12" s="309"/>
      <c r="G12" s="296"/>
      <c r="H12" s="1"/>
      <c r="I12" s="1"/>
      <c r="J12" s="76"/>
      <c r="K12" s="1"/>
    </row>
    <row r="13" spans="1:15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M13" s="79" t="s">
        <v>20</v>
      </c>
    </row>
    <row r="14" spans="1:15" ht="18" thickBot="1">
      <c r="A14" s="11"/>
      <c r="B14" s="334" t="s">
        <v>3</v>
      </c>
      <c r="C14" s="335"/>
      <c r="D14" s="336"/>
      <c r="E14" s="17">
        <f>SUM(E15:E17)</f>
        <v>644487.39999999991</v>
      </c>
      <c r="F14" s="264"/>
      <c r="G14" s="331" t="s">
        <v>4</v>
      </c>
      <c r="H14" s="332"/>
      <c r="I14" s="332"/>
      <c r="J14" s="332"/>
      <c r="K14" s="333"/>
      <c r="L14" s="13"/>
      <c r="N14" s="79"/>
      <c r="O14" s="79"/>
    </row>
    <row r="15" spans="1:15">
      <c r="A15" s="1"/>
      <c r="B15" s="337" t="s">
        <v>5</v>
      </c>
      <c r="C15" s="338"/>
      <c r="D15" s="339"/>
      <c r="E15" s="20">
        <f>J16+J17+J18+J19</f>
        <v>605440.68999999994</v>
      </c>
      <c r="F15" s="153"/>
      <c r="G15" s="340" t="s">
        <v>6</v>
      </c>
      <c r="H15" s="341"/>
      <c r="I15" s="21"/>
      <c r="J15" s="342" t="s">
        <v>5</v>
      </c>
      <c r="K15" s="343"/>
      <c r="L15" s="13"/>
      <c r="N15" s="79"/>
      <c r="O15" s="79"/>
    </row>
    <row r="16" spans="1:15">
      <c r="A16" s="1"/>
      <c r="B16" s="349" t="s">
        <v>7</v>
      </c>
      <c r="C16" s="350"/>
      <c r="D16" s="351"/>
      <c r="E16" s="20">
        <f>G22+G23</f>
        <v>19825.939999999999</v>
      </c>
      <c r="F16" s="153"/>
      <c r="G16" s="22">
        <v>13475.22</v>
      </c>
      <c r="H16" s="23" t="s">
        <v>8</v>
      </c>
      <c r="I16" s="24"/>
      <c r="J16" s="25">
        <v>24790.92</v>
      </c>
      <c r="K16" s="26" t="s">
        <v>9</v>
      </c>
      <c r="L16" s="19"/>
      <c r="N16" s="79"/>
      <c r="O16" s="79"/>
    </row>
    <row r="17" spans="1:15">
      <c r="A17" s="1"/>
      <c r="B17" s="352" t="s">
        <v>6</v>
      </c>
      <c r="C17" s="353"/>
      <c r="D17" s="354"/>
      <c r="E17" s="28">
        <f>G16+G17+G18</f>
        <v>19220.77</v>
      </c>
      <c r="F17" s="153">
        <f>E15+E16+E17</f>
        <v>644487.39999999991</v>
      </c>
      <c r="G17" s="22">
        <v>3596.98</v>
      </c>
      <c r="H17" s="29" t="s">
        <v>10</v>
      </c>
      <c r="I17" s="30"/>
      <c r="J17" s="25">
        <v>441475.4</v>
      </c>
      <c r="K17" s="31" t="s">
        <v>10</v>
      </c>
      <c r="L17" s="13"/>
      <c r="N17" s="79"/>
      <c r="O17" s="79"/>
    </row>
    <row r="18" spans="1:15">
      <c r="A18" s="1"/>
      <c r="B18" s="236" t="s">
        <v>187</v>
      </c>
      <c r="C18" s="237"/>
      <c r="D18" s="238"/>
      <c r="E18" s="28">
        <f>+J22</f>
        <v>5126.9500000000007</v>
      </c>
      <c r="F18" s="153">
        <v>90000</v>
      </c>
      <c r="G18" s="22">
        <v>2148.5700000000002</v>
      </c>
      <c r="H18" s="29" t="s">
        <v>12</v>
      </c>
      <c r="I18" s="30"/>
      <c r="J18" s="25">
        <v>84309.92</v>
      </c>
      <c r="K18" s="31" t="s">
        <v>12</v>
      </c>
      <c r="L18" s="13"/>
      <c r="N18" s="79"/>
      <c r="O18" s="79"/>
    </row>
    <row r="19" spans="1:15">
      <c r="B19" s="379" t="s">
        <v>11</v>
      </c>
      <c r="C19" s="380"/>
      <c r="D19" s="381"/>
      <c r="E19" s="20">
        <f>G29+G31+G30+G28</f>
        <v>15172.61</v>
      </c>
      <c r="F19" s="153">
        <f>+F17-F18</f>
        <v>554487.39999999991</v>
      </c>
      <c r="G19" s="33"/>
      <c r="H19" s="34"/>
      <c r="I19" s="30"/>
      <c r="J19" s="25">
        <v>54864.45</v>
      </c>
      <c r="K19" s="31" t="s">
        <v>14</v>
      </c>
      <c r="N19" s="79"/>
      <c r="O19" s="79"/>
    </row>
    <row r="20" spans="1:15">
      <c r="B20" s="344" t="s">
        <v>13</v>
      </c>
      <c r="C20" s="345"/>
      <c r="D20" s="346"/>
      <c r="E20" s="20">
        <v>20052219.600000001</v>
      </c>
      <c r="F20" s="153"/>
      <c r="G20" s="239"/>
      <c r="H20" s="240"/>
      <c r="I20" s="30"/>
      <c r="J20" s="25"/>
      <c r="K20" s="31"/>
      <c r="L20" s="32"/>
      <c r="M20" s="8" t="s">
        <v>405</v>
      </c>
      <c r="N20" s="79"/>
      <c r="O20" s="79"/>
    </row>
    <row r="21" spans="1:15">
      <c r="B21" s="187" t="s">
        <v>15</v>
      </c>
      <c r="C21" s="188"/>
      <c r="D21" s="189"/>
      <c r="E21" s="190">
        <f>SUM(E22:E25)</f>
        <v>163237.57</v>
      </c>
      <c r="F21" s="153"/>
      <c r="G21" s="361" t="s">
        <v>16</v>
      </c>
      <c r="H21" s="362"/>
      <c r="I21" s="36"/>
      <c r="J21" s="241" t="s">
        <v>187</v>
      </c>
      <c r="K21" s="242"/>
      <c r="L21" s="39"/>
      <c r="N21" s="79"/>
      <c r="O21" s="79"/>
    </row>
    <row r="22" spans="1:15" ht="15" customHeight="1">
      <c r="B22" s="303"/>
      <c r="C22" s="304"/>
      <c r="D22" s="308" t="s">
        <v>172</v>
      </c>
      <c r="E22" s="190">
        <v>14407.64</v>
      </c>
      <c r="F22" s="153"/>
      <c r="G22" s="44">
        <v>10628.64</v>
      </c>
      <c r="H22" s="29" t="s">
        <v>10</v>
      </c>
      <c r="I22" s="30"/>
      <c r="J22" s="25">
        <f>20126.95-15000</f>
        <v>5126.9500000000007</v>
      </c>
      <c r="K22" s="31" t="s">
        <v>188</v>
      </c>
      <c r="L22" s="39"/>
      <c r="N22" s="79"/>
      <c r="O22" s="79"/>
    </row>
    <row r="23" spans="1:15" ht="15" customHeight="1">
      <c r="B23" s="301"/>
      <c r="C23" s="302"/>
      <c r="D23" s="308" t="s">
        <v>172</v>
      </c>
      <c r="E23" s="190">
        <v>119938.29</v>
      </c>
      <c r="F23" s="153"/>
      <c r="G23" s="44">
        <v>9197.2999999999993</v>
      </c>
      <c r="H23" s="29" t="s">
        <v>18</v>
      </c>
      <c r="I23" s="30"/>
      <c r="J23" s="25"/>
      <c r="K23" s="31"/>
      <c r="L23" s="39"/>
      <c r="N23" s="79"/>
      <c r="O23" s="79"/>
    </row>
    <row r="24" spans="1:15" ht="15" thickBot="1">
      <c r="B24" s="187"/>
      <c r="C24" s="188"/>
      <c r="D24" s="198" t="s">
        <v>172</v>
      </c>
      <c r="E24" s="190">
        <v>28891.64</v>
      </c>
      <c r="F24" s="153"/>
      <c r="G24" s="51"/>
      <c r="H24" s="34"/>
      <c r="I24" s="30"/>
      <c r="J24" s="210"/>
      <c r="K24" s="53"/>
      <c r="L24" s="39"/>
      <c r="M24" s="324"/>
      <c r="N24" s="79"/>
      <c r="O24" s="79"/>
    </row>
    <row r="25" spans="1:15" ht="15" thickBot="1">
      <c r="B25" s="187"/>
      <c r="C25" s="188"/>
      <c r="D25" s="198"/>
      <c r="E25" s="190">
        <v>0</v>
      </c>
      <c r="F25" s="153"/>
      <c r="G25" s="331" t="s">
        <v>21</v>
      </c>
      <c r="H25" s="332"/>
      <c r="I25" s="332"/>
      <c r="J25" s="332"/>
      <c r="K25" s="333"/>
      <c r="N25" s="79"/>
      <c r="O25" s="79"/>
    </row>
    <row r="26" spans="1:15">
      <c r="B26" s="202" t="s">
        <v>17</v>
      </c>
      <c r="C26" s="203"/>
      <c r="D26" s="204"/>
      <c r="E26" s="234">
        <v>43559.06</v>
      </c>
      <c r="G26" s="54"/>
      <c r="H26" s="55"/>
      <c r="I26" s="56"/>
      <c r="J26" s="211"/>
      <c r="K26" s="58"/>
      <c r="N26" s="79"/>
      <c r="O26" s="79"/>
    </row>
    <row r="27" spans="1:15">
      <c r="B27" s="202" t="s">
        <v>163</v>
      </c>
      <c r="C27" s="203"/>
      <c r="D27" s="204"/>
      <c r="E27" s="234">
        <v>2135.1999999999998</v>
      </c>
      <c r="F27" s="153">
        <f>+F19</f>
        <v>554487.39999999991</v>
      </c>
      <c r="G27" s="377" t="s">
        <v>5</v>
      </c>
      <c r="H27" s="378"/>
      <c r="I27" s="59"/>
      <c r="J27" s="60"/>
      <c r="K27" s="45"/>
      <c r="N27" s="79"/>
      <c r="O27" s="79"/>
    </row>
    <row r="28" spans="1:15">
      <c r="B28" s="199" t="s">
        <v>22</v>
      </c>
      <c r="C28" s="200"/>
      <c r="D28" s="201"/>
      <c r="E28" s="234">
        <v>0</v>
      </c>
      <c r="F28" s="288">
        <f>SUM(E26:E32)</f>
        <v>45694.259999999995</v>
      </c>
      <c r="G28" s="22">
        <v>4213.82</v>
      </c>
      <c r="H28" s="62" t="s">
        <v>9</v>
      </c>
      <c r="I28" s="59"/>
      <c r="J28" s="60"/>
      <c r="K28" s="45"/>
      <c r="N28" s="155"/>
    </row>
    <row r="29" spans="1:15">
      <c r="B29" s="199" t="s">
        <v>80</v>
      </c>
      <c r="C29" s="200"/>
      <c r="D29" s="201"/>
      <c r="E29" s="234">
        <v>0</v>
      </c>
      <c r="F29" s="153">
        <f>+F27-F28</f>
        <v>508793.1399999999</v>
      </c>
      <c r="G29" s="22">
        <v>1713.37</v>
      </c>
      <c r="H29" s="62" t="s">
        <v>26</v>
      </c>
      <c r="I29" s="63"/>
      <c r="J29" s="64"/>
      <c r="K29" s="65"/>
    </row>
    <row r="30" spans="1:15">
      <c r="B30" s="199" t="s">
        <v>24</v>
      </c>
      <c r="C30" s="200"/>
      <c r="D30" s="201"/>
      <c r="E30" s="49">
        <v>0</v>
      </c>
      <c r="F30" s="221"/>
      <c r="G30" s="67">
        <v>1920.61</v>
      </c>
      <c r="H30" s="68" t="s">
        <v>14</v>
      </c>
      <c r="I30" s="63"/>
      <c r="J30" s="64"/>
      <c r="K30" s="65"/>
      <c r="N30" s="155"/>
    </row>
    <row r="31" spans="1:15" ht="15" thickBot="1">
      <c r="B31" s="344" t="s">
        <v>69</v>
      </c>
      <c r="C31" s="345"/>
      <c r="D31" s="346"/>
      <c r="E31" s="234">
        <v>0</v>
      </c>
      <c r="G31" s="71">
        <v>7324.81</v>
      </c>
      <c r="H31" s="72" t="s">
        <v>12</v>
      </c>
      <c r="I31" s="73"/>
      <c r="J31" s="74"/>
      <c r="K31" s="75"/>
    </row>
    <row r="32" spans="1:15" ht="15" thickBot="1">
      <c r="B32" s="363" t="s">
        <v>29</v>
      </c>
      <c r="C32" s="364"/>
      <c r="D32" s="365"/>
      <c r="E32" s="66">
        <v>0</v>
      </c>
      <c r="N32" s="155"/>
    </row>
    <row r="33" spans="2:14">
      <c r="E33" s="61"/>
    </row>
    <row r="34" spans="2:14">
      <c r="E34" s="61"/>
      <c r="H34" s="61"/>
      <c r="I34" s="61"/>
      <c r="J34" s="39"/>
      <c r="K34" s="61"/>
      <c r="N34" s="155"/>
    </row>
    <row r="35" spans="2:14">
      <c r="E35" s="79"/>
      <c r="G35" s="8"/>
      <c r="H35" s="61"/>
      <c r="I35" s="61"/>
      <c r="J35" s="39"/>
      <c r="K35" s="61"/>
    </row>
    <row r="36" spans="2:14">
      <c r="D36" s="8"/>
      <c r="E36" s="79"/>
      <c r="G36" s="8"/>
      <c r="H36" s="13"/>
      <c r="I36" s="61"/>
      <c r="J36" s="13"/>
      <c r="K36" s="83"/>
      <c r="N36" s="155"/>
    </row>
    <row r="37" spans="2:14">
      <c r="B37" s="61"/>
      <c r="C37" s="61"/>
      <c r="D37" s="8"/>
      <c r="E37" s="110" t="s">
        <v>417</v>
      </c>
      <c r="F37" s="299"/>
      <c r="G37" s="181"/>
      <c r="H37" s="161"/>
      <c r="I37" s="197"/>
      <c r="J37" s="13"/>
      <c r="K37" s="83"/>
    </row>
    <row r="38" spans="2:14" s="61" customFormat="1" ht="15" customHeight="1">
      <c r="D38" s="8"/>
      <c r="E38" s="110"/>
      <c r="F38" s="299"/>
      <c r="G38" s="86"/>
      <c r="I38" s="197"/>
      <c r="J38" s="13"/>
      <c r="K38" s="83"/>
      <c r="L38" s="88"/>
      <c r="M38" s="79"/>
      <c r="N38" s="273"/>
    </row>
    <row r="39" spans="2:14" s="61" customFormat="1" ht="15" customHeight="1">
      <c r="D39" s="8"/>
      <c r="E39" s="82" t="s">
        <v>34</v>
      </c>
      <c r="F39" s="299">
        <f>F19</f>
        <v>554487.39999999991</v>
      </c>
      <c r="G39" s="86"/>
      <c r="H39" s="161"/>
      <c r="I39" s="197"/>
      <c r="J39" s="13"/>
      <c r="K39" s="85"/>
      <c r="L39" s="161"/>
      <c r="M39" s="79"/>
    </row>
    <row r="40" spans="2:14" s="61" customFormat="1" ht="15" customHeight="1">
      <c r="D40" s="8"/>
      <c r="E40" s="82" t="s">
        <v>35</v>
      </c>
      <c r="F40" s="299">
        <f>+E19</f>
        <v>15172.61</v>
      </c>
      <c r="G40" s="86"/>
      <c r="I40" s="214"/>
      <c r="J40" s="13"/>
      <c r="K40" s="87"/>
      <c r="L40" s="161"/>
      <c r="M40" s="79"/>
      <c r="N40" s="273"/>
    </row>
    <row r="41" spans="2:14" s="61" customFormat="1" ht="15" customHeight="1">
      <c r="D41" s="8"/>
      <c r="E41" s="82" t="s">
        <v>36</v>
      </c>
      <c r="F41" s="299">
        <v>0</v>
      </c>
      <c r="G41" s="9"/>
      <c r="I41" s="197"/>
      <c r="J41" s="13"/>
      <c r="M41" s="79"/>
    </row>
    <row r="42" spans="2:14" s="61" customFormat="1" ht="15" customHeight="1">
      <c r="D42" s="8"/>
      <c r="E42" s="82" t="s">
        <v>37</v>
      </c>
      <c r="F42" s="299">
        <v>0</v>
      </c>
      <c r="G42" s="9"/>
      <c r="I42" s="197"/>
      <c r="J42" s="13"/>
      <c r="M42" s="79"/>
      <c r="N42" s="273"/>
    </row>
    <row r="43" spans="2:14" s="61" customFormat="1" ht="15" customHeight="1">
      <c r="D43" s="8"/>
      <c r="E43" s="112" t="s">
        <v>38</v>
      </c>
      <c r="F43" s="225">
        <f>SUM(F39:F42)</f>
        <v>569660.00999999989</v>
      </c>
      <c r="G43" s="9"/>
      <c r="H43" s="163"/>
      <c r="I43" s="229"/>
      <c r="J43" s="13"/>
      <c r="M43" s="79"/>
    </row>
    <row r="44" spans="2:14" s="61" customFormat="1" ht="15" customHeight="1">
      <c r="D44" s="8"/>
      <c r="E44" s="113"/>
      <c r="F44" s="226"/>
      <c r="G44" s="9"/>
      <c r="H44" s="165"/>
      <c r="I44" s="230"/>
      <c r="J44" s="13"/>
      <c r="M44" s="79"/>
      <c r="N44" s="273"/>
    </row>
    <row r="45" spans="2:14" s="61" customFormat="1" ht="15" customHeight="1">
      <c r="D45" s="8"/>
      <c r="E45" s="113" t="s">
        <v>152</v>
      </c>
      <c r="F45" s="226">
        <v>320000</v>
      </c>
      <c r="G45" s="9"/>
      <c r="H45" s="165"/>
      <c r="I45" s="230"/>
      <c r="J45" s="13"/>
      <c r="M45" s="79"/>
      <c r="N45" s="273"/>
    </row>
    <row r="46" spans="2:14" s="61" customFormat="1" ht="15" customHeight="1">
      <c r="D46" s="8"/>
      <c r="E46" s="113" t="s">
        <v>80</v>
      </c>
      <c r="F46" s="226">
        <v>0</v>
      </c>
      <c r="G46" s="9"/>
      <c r="H46" s="165"/>
      <c r="I46" s="230"/>
      <c r="J46" s="13"/>
      <c r="M46" s="79"/>
      <c r="N46" s="273"/>
    </row>
    <row r="47" spans="2:14" s="61" customFormat="1" ht="15" customHeight="1">
      <c r="D47" s="8"/>
      <c r="E47" s="113" t="s">
        <v>418</v>
      </c>
      <c r="F47" s="226">
        <v>160000</v>
      </c>
      <c r="G47" s="9"/>
      <c r="H47" s="165"/>
      <c r="I47" s="230"/>
      <c r="J47" s="13"/>
      <c r="M47" s="79"/>
      <c r="N47" s="273"/>
    </row>
    <row r="48" spans="2:14" s="61" customFormat="1" ht="15" customHeight="1">
      <c r="D48" s="8"/>
      <c r="E48" s="113" t="s">
        <v>81</v>
      </c>
      <c r="F48" s="226">
        <v>1700000</v>
      </c>
      <c r="G48" s="9"/>
      <c r="H48" s="165"/>
      <c r="I48" s="230"/>
      <c r="J48" s="13"/>
      <c r="M48" s="79"/>
      <c r="N48" s="273"/>
    </row>
    <row r="49" spans="2:14" s="61" customFormat="1" ht="15" customHeight="1">
      <c r="D49" s="8"/>
      <c r="E49" s="113" t="s">
        <v>69</v>
      </c>
      <c r="F49" s="226">
        <v>60000</v>
      </c>
      <c r="G49" s="9"/>
      <c r="H49" s="165"/>
      <c r="I49" s="230"/>
      <c r="J49" s="13"/>
      <c r="M49" s="79"/>
      <c r="N49" s="273"/>
    </row>
    <row r="50" spans="2:14" s="61" customFormat="1" ht="15" customHeight="1">
      <c r="D50" s="8"/>
      <c r="E50" s="116" t="s">
        <v>24</v>
      </c>
      <c r="F50" s="221">
        <f>15000+65000+18000</f>
        <v>98000</v>
      </c>
      <c r="G50" s="8"/>
      <c r="H50" s="91"/>
      <c r="I50" s="231"/>
      <c r="J50" s="13"/>
      <c r="M50" s="79"/>
    </row>
    <row r="51" spans="2:14" s="61" customFormat="1" ht="15" customHeight="1">
      <c r="D51" s="8"/>
      <c r="E51" s="116" t="s">
        <v>22</v>
      </c>
      <c r="F51" s="221">
        <v>50000</v>
      </c>
      <c r="G51" s="8"/>
      <c r="H51" s="96"/>
      <c r="I51" s="231"/>
      <c r="J51" s="262"/>
      <c r="M51" s="79"/>
    </row>
    <row r="52" spans="2:14" s="61" customFormat="1">
      <c r="D52" s="8"/>
      <c r="E52" s="116" t="s">
        <v>40</v>
      </c>
      <c r="F52" s="226">
        <v>180000</v>
      </c>
      <c r="G52" s="82"/>
      <c r="H52" s="83"/>
      <c r="I52" s="228"/>
      <c r="J52" s="13"/>
      <c r="M52" s="79"/>
    </row>
    <row r="53" spans="2:14" s="61" customFormat="1">
      <c r="D53" s="8"/>
      <c r="E53" s="118" t="s">
        <v>41</v>
      </c>
      <c r="F53" s="225">
        <f>SUM(F45:F52)</f>
        <v>2568000</v>
      </c>
      <c r="G53" s="82"/>
      <c r="H53" s="83"/>
      <c r="I53" s="233"/>
      <c r="J53" s="13"/>
      <c r="M53" s="79"/>
    </row>
    <row r="54" spans="2:14" s="61" customFormat="1">
      <c r="D54" s="8"/>
      <c r="E54" s="118" t="s">
        <v>42</v>
      </c>
      <c r="F54" s="225">
        <f>F43-F53</f>
        <v>-1998339.9900000002</v>
      </c>
      <c r="G54" s="82"/>
      <c r="H54" s="83"/>
      <c r="I54" s="233"/>
      <c r="J54" s="13"/>
      <c r="M54" s="79"/>
    </row>
    <row r="55" spans="2:14" s="61" customFormat="1">
      <c r="D55" s="8"/>
      <c r="E55" s="82"/>
      <c r="F55" s="80"/>
      <c r="G55" s="82"/>
      <c r="H55" s="83"/>
      <c r="I55" s="233"/>
      <c r="J55" s="13"/>
      <c r="L55" s="91"/>
      <c r="M55" s="79"/>
    </row>
    <row r="56" spans="2:14" s="61" customFormat="1">
      <c r="D56" s="8"/>
      <c r="E56" s="82" t="s">
        <v>43</v>
      </c>
      <c r="F56" s="80">
        <v>45000</v>
      </c>
      <c r="G56" s="82"/>
      <c r="H56" s="96"/>
      <c r="I56" s="228"/>
      <c r="J56" s="13"/>
      <c r="L56" s="91"/>
      <c r="M56" s="79"/>
    </row>
    <row r="57" spans="2:14" s="61" customFormat="1">
      <c r="D57" s="8"/>
      <c r="E57" s="82" t="s">
        <v>44</v>
      </c>
      <c r="F57" s="80">
        <f>170000-60000-15000+390000</f>
        <v>485000</v>
      </c>
      <c r="G57" s="82"/>
      <c r="H57" s="96"/>
      <c r="I57" s="228"/>
      <c r="J57" s="13"/>
      <c r="L57" s="91"/>
      <c r="M57" s="79"/>
    </row>
    <row r="58" spans="2:14" s="61" customFormat="1">
      <c r="D58" s="8"/>
      <c r="E58" s="82" t="s">
        <v>386</v>
      </c>
      <c r="F58" s="80">
        <v>3866.8</v>
      </c>
      <c r="G58" s="82"/>
      <c r="H58" s="83"/>
      <c r="I58" s="233"/>
      <c r="J58" s="13"/>
      <c r="L58" s="96"/>
      <c r="M58" s="79"/>
    </row>
    <row r="59" spans="2:14" s="61" customFormat="1">
      <c r="D59" s="8"/>
      <c r="E59" s="82" t="s">
        <v>45</v>
      </c>
      <c r="F59" s="117">
        <v>1163364.29</v>
      </c>
      <c r="G59" s="8"/>
      <c r="H59" s="96"/>
      <c r="I59" s="219"/>
      <c r="J59" s="13"/>
      <c r="L59" s="96"/>
      <c r="M59" s="79"/>
    </row>
    <row r="60" spans="2:14" s="61" customFormat="1">
      <c r="D60" s="8"/>
      <c r="E60" s="82" t="s">
        <v>205</v>
      </c>
      <c r="F60" s="117">
        <v>496338.87</v>
      </c>
      <c r="G60" s="8"/>
      <c r="J60" s="13"/>
      <c r="M60" s="79"/>
    </row>
    <row r="61" spans="2:14" s="61" customFormat="1">
      <c r="B61"/>
      <c r="C61"/>
      <c r="D61" s="8"/>
      <c r="E61" s="82" t="s">
        <v>206</v>
      </c>
      <c r="F61" s="117">
        <v>3000000</v>
      </c>
      <c r="G61" s="8"/>
      <c r="J61" s="13"/>
      <c r="L61" s="83"/>
      <c r="M61" s="79"/>
    </row>
    <row r="62" spans="2:14">
      <c r="D62" s="8"/>
      <c r="E62" s="118" t="s">
        <v>46</v>
      </c>
      <c r="F62" s="120">
        <f>SUM(F56:F61)</f>
        <v>5193569.96</v>
      </c>
      <c r="G62" s="79"/>
      <c r="H62" s="79"/>
    </row>
    <row r="63" spans="2:14">
      <c r="D63" s="8"/>
      <c r="E63" s="82"/>
      <c r="F63" s="80"/>
      <c r="G63" s="79"/>
      <c r="H63" s="79"/>
    </row>
    <row r="64" spans="2:14">
      <c r="D64" s="8"/>
      <c r="E64" s="118" t="s">
        <v>47</v>
      </c>
      <c r="F64" s="120">
        <f>+F54-F62</f>
        <v>-7191909.9500000002</v>
      </c>
      <c r="G64" s="79"/>
      <c r="H64" s="79"/>
    </row>
    <row r="65" spans="1:8">
      <c r="D65" s="8"/>
      <c r="E65" s="8"/>
      <c r="G65" s="79"/>
      <c r="H65" s="79"/>
    </row>
    <row r="66" spans="1:8">
      <c r="D66" s="8"/>
      <c r="E66" s="79"/>
      <c r="G66" s="79"/>
      <c r="H66" s="79"/>
    </row>
    <row r="67" spans="1:8">
      <c r="D67" s="247" t="s">
        <v>192</v>
      </c>
      <c r="E67" s="79"/>
      <c r="G67" s="127">
        <f>SUM(E75:F75)</f>
        <v>0</v>
      </c>
      <c r="H67" s="79"/>
    </row>
    <row r="68" spans="1:8">
      <c r="D68" s="247" t="s">
        <v>194</v>
      </c>
      <c r="E68" s="79"/>
      <c r="G68" s="79"/>
      <c r="H68" s="79"/>
    </row>
    <row r="69" spans="1:8">
      <c r="D69" s="8" t="s">
        <v>9</v>
      </c>
      <c r="E69" s="275"/>
      <c r="F69" s="247"/>
      <c r="G69" s="79"/>
      <c r="H69" s="79"/>
    </row>
    <row r="70" spans="1:8">
      <c r="D70" s="8" t="s">
        <v>195</v>
      </c>
      <c r="E70" s="275"/>
      <c r="F70" s="248"/>
      <c r="G70" s="79"/>
      <c r="H70" s="79"/>
    </row>
    <row r="71" spans="1:8">
      <c r="D71" s="8" t="s">
        <v>188</v>
      </c>
      <c r="E71" s="276"/>
      <c r="F71" s="250"/>
      <c r="G71" s="79"/>
      <c r="H71" s="79"/>
    </row>
    <row r="72" spans="1:8">
      <c r="D72" s="8"/>
      <c r="E72" s="276"/>
      <c r="F72" s="250"/>
      <c r="G72" s="79"/>
      <c r="H72" s="79"/>
    </row>
    <row r="73" spans="1:8">
      <c r="D73" s="8"/>
      <c r="E73" s="276"/>
      <c r="F73" s="250"/>
      <c r="G73" s="79"/>
      <c r="H73" s="79"/>
    </row>
    <row r="74" spans="1:8">
      <c r="D74" s="8"/>
      <c r="E74" s="124"/>
      <c r="F74" s="250"/>
      <c r="G74" s="79"/>
      <c r="H74" s="79"/>
    </row>
    <row r="75" spans="1:8">
      <c r="D75" s="8"/>
      <c r="E75" s="8"/>
    </row>
    <row r="76" spans="1:8">
      <c r="D76" s="8"/>
      <c r="E76" s="8"/>
    </row>
    <row r="77" spans="1:8">
      <c r="A77" s="268"/>
      <c r="D77" s="8"/>
      <c r="E77" s="8"/>
    </row>
    <row r="78" spans="1:8">
      <c r="E78" s="8"/>
    </row>
    <row r="79" spans="1:8">
      <c r="B79" s="235"/>
      <c r="E79" s="8"/>
    </row>
    <row r="80" spans="1:8">
      <c r="E80" s="8"/>
    </row>
    <row r="81" spans="1:5">
      <c r="E81" s="293"/>
    </row>
    <row r="82" spans="1:5">
      <c r="C82" s="155"/>
      <c r="E82" s="8"/>
    </row>
    <row r="83" spans="1:5">
      <c r="A83" s="269"/>
      <c r="E83" s="293"/>
    </row>
    <row r="84" spans="1:5">
      <c r="C84" s="155"/>
      <c r="E84" s="8"/>
    </row>
    <row r="85" spans="1:5">
      <c r="A85" s="269"/>
      <c r="E85" s="293"/>
    </row>
    <row r="86" spans="1:5">
      <c r="C86" s="155"/>
      <c r="E86" s="8"/>
    </row>
    <row r="87" spans="1:5">
      <c r="A87" s="269"/>
      <c r="E87" s="293"/>
    </row>
    <row r="88" spans="1:5">
      <c r="C88" s="155"/>
      <c r="E88" s="8"/>
    </row>
    <row r="89" spans="1:5">
      <c r="A89" s="269"/>
      <c r="E89" s="293"/>
    </row>
    <row r="90" spans="1:5">
      <c r="C90" s="155"/>
      <c r="E90" s="8"/>
    </row>
    <row r="91" spans="1:5">
      <c r="A91" s="269"/>
      <c r="E91" s="293"/>
    </row>
    <row r="92" spans="1:5">
      <c r="C92" s="155"/>
      <c r="E92" s="8"/>
    </row>
    <row r="93" spans="1:5">
      <c r="A93" s="269"/>
      <c r="E93" s="293"/>
    </row>
    <row r="94" spans="1:5">
      <c r="C94" s="155"/>
      <c r="E94" s="8"/>
    </row>
    <row r="95" spans="1:5">
      <c r="A95" s="269"/>
      <c r="E95" s="293"/>
    </row>
    <row r="96" spans="1:5">
      <c r="C96" s="155"/>
      <c r="E96" s="8"/>
    </row>
    <row r="97" spans="1:5">
      <c r="A97" s="269"/>
      <c r="E97" s="293"/>
    </row>
    <row r="98" spans="1:5">
      <c r="C98" s="155"/>
      <c r="E98" s="8"/>
    </row>
    <row r="99" spans="1:5">
      <c r="A99" s="269"/>
      <c r="E99" s="293"/>
    </row>
    <row r="100" spans="1:5">
      <c r="C100" s="155"/>
      <c r="E100" s="8"/>
    </row>
    <row r="101" spans="1:5">
      <c r="A101" s="269"/>
      <c r="E101" s="293"/>
    </row>
    <row r="102" spans="1:5">
      <c r="C102" s="155"/>
      <c r="E102" s="8"/>
    </row>
    <row r="103" spans="1:5">
      <c r="A103" s="269"/>
      <c r="E103" s="293"/>
    </row>
    <row r="104" spans="1:5">
      <c r="C104" s="155"/>
      <c r="E104" s="8"/>
    </row>
    <row r="105" spans="1:5">
      <c r="A105" s="269"/>
      <c r="E105" s="293"/>
    </row>
    <row r="106" spans="1:5">
      <c r="C106" s="155"/>
      <c r="E106" s="8"/>
    </row>
    <row r="107" spans="1:5">
      <c r="A107" s="269"/>
      <c r="E107" s="293"/>
    </row>
    <row r="108" spans="1:5">
      <c r="C108" s="155"/>
      <c r="E108" s="8"/>
    </row>
    <row r="109" spans="1:5">
      <c r="A109" s="269"/>
      <c r="E109" s="293"/>
    </row>
    <row r="110" spans="1:5">
      <c r="C110" s="155"/>
      <c r="E110" s="8"/>
    </row>
    <row r="111" spans="1:5">
      <c r="A111" s="269"/>
      <c r="E111" s="293"/>
    </row>
    <row r="112" spans="1:5">
      <c r="C112" s="155"/>
      <c r="E112" s="8"/>
    </row>
    <row r="113" spans="1:5">
      <c r="A113" s="269"/>
      <c r="E113" s="293"/>
    </row>
    <row r="114" spans="1:5">
      <c r="C114" s="155"/>
      <c r="E114" s="8"/>
    </row>
    <row r="115" spans="1:5">
      <c r="A115" s="269"/>
      <c r="E115" s="293"/>
    </row>
    <row r="116" spans="1:5">
      <c r="C116" s="155"/>
      <c r="E116" s="8"/>
    </row>
    <row r="117" spans="1:5">
      <c r="A117" s="269"/>
      <c r="E117" s="293"/>
    </row>
    <row r="118" spans="1:5">
      <c r="C118" s="155"/>
      <c r="E118" s="8"/>
    </row>
    <row r="119" spans="1:5">
      <c r="A119" s="269"/>
      <c r="E119" s="293"/>
    </row>
    <row r="120" spans="1:5">
      <c r="C120" s="155"/>
      <c r="E120" s="8"/>
    </row>
    <row r="121" spans="1:5">
      <c r="A121" s="269"/>
      <c r="E121" s="293"/>
    </row>
    <row r="122" spans="1:5">
      <c r="C122" s="155"/>
      <c r="E122" s="8"/>
    </row>
    <row r="123" spans="1:5">
      <c r="A123" s="269"/>
      <c r="E123" s="293"/>
    </row>
    <row r="124" spans="1:5">
      <c r="C124" s="155"/>
      <c r="E124" s="8"/>
    </row>
    <row r="125" spans="1:5">
      <c r="A125" s="269"/>
      <c r="E125" s="293"/>
    </row>
    <row r="126" spans="1:5">
      <c r="C126" s="155"/>
      <c r="E126" s="8"/>
    </row>
    <row r="127" spans="1:5">
      <c r="A127" s="269"/>
      <c r="E127" s="293"/>
    </row>
    <row r="128" spans="1:5">
      <c r="C128" s="155"/>
      <c r="E128" s="8"/>
    </row>
    <row r="129" spans="1:5">
      <c r="A129" s="269"/>
      <c r="E129" s="293"/>
    </row>
    <row r="130" spans="1:5">
      <c r="C130" s="155"/>
      <c r="E130" s="8"/>
    </row>
    <row r="131" spans="1:5">
      <c r="A131" s="269"/>
      <c r="E131" s="293"/>
    </row>
    <row r="132" spans="1:5">
      <c r="C132" s="155"/>
      <c r="E132" s="8"/>
    </row>
    <row r="133" spans="1:5">
      <c r="A133" s="269"/>
      <c r="E133" s="293"/>
    </row>
    <row r="134" spans="1:5">
      <c r="C134" s="155"/>
      <c r="E134" s="8"/>
    </row>
    <row r="135" spans="1:5">
      <c r="A135" s="269"/>
      <c r="E135" s="293"/>
    </row>
    <row r="136" spans="1:5">
      <c r="C136" s="155"/>
      <c r="E136" s="8"/>
    </row>
    <row r="137" spans="1:5">
      <c r="A137" s="269"/>
      <c r="E137" s="293"/>
    </row>
    <row r="138" spans="1:5">
      <c r="C138" s="155"/>
      <c r="E138" s="8"/>
    </row>
    <row r="139" spans="1:5">
      <c r="A139" s="269"/>
      <c r="E139" s="293"/>
    </row>
    <row r="140" spans="1:5">
      <c r="C140" s="155"/>
      <c r="E140" s="8"/>
    </row>
    <row r="141" spans="1:5">
      <c r="A141" s="269"/>
      <c r="E141" s="293"/>
    </row>
    <row r="142" spans="1:5">
      <c r="C142" s="155"/>
      <c r="E142" s="8"/>
    </row>
    <row r="143" spans="1:5">
      <c r="A143" s="269"/>
      <c r="E143" s="155"/>
    </row>
    <row r="144" spans="1:5">
      <c r="C144" s="155"/>
    </row>
    <row r="145" spans="1:5">
      <c r="A145" s="269"/>
      <c r="E145" s="155"/>
    </row>
    <row r="146" spans="1:5">
      <c r="C146" s="155"/>
    </row>
    <row r="147" spans="1:5">
      <c r="A147" s="269"/>
      <c r="E147" s="155"/>
    </row>
    <row r="148" spans="1:5">
      <c r="C148" s="155"/>
    </row>
    <row r="149" spans="1:5">
      <c r="A149" s="269"/>
      <c r="E149" s="155"/>
    </row>
    <row r="150" spans="1:5">
      <c r="C150" s="155"/>
    </row>
    <row r="151" spans="1:5">
      <c r="A151" s="269"/>
      <c r="E151" s="155"/>
    </row>
    <row r="152" spans="1:5">
      <c r="C152" s="155"/>
    </row>
    <row r="153" spans="1:5">
      <c r="A153" s="269"/>
      <c r="E153" s="155"/>
    </row>
    <row r="154" spans="1:5">
      <c r="C154" s="155"/>
    </row>
    <row r="155" spans="1:5">
      <c r="A155" s="269"/>
      <c r="E155" s="155"/>
    </row>
    <row r="156" spans="1:5">
      <c r="C156" s="155"/>
    </row>
    <row r="157" spans="1:5">
      <c r="A157" s="269"/>
      <c r="E157" s="155"/>
    </row>
    <row r="158" spans="1:5">
      <c r="C158" s="155"/>
    </row>
    <row r="159" spans="1:5">
      <c r="A159" s="269"/>
      <c r="E159" s="155"/>
    </row>
    <row r="160" spans="1:5">
      <c r="C160" s="155"/>
    </row>
    <row r="161" spans="1:5">
      <c r="A161" s="269"/>
      <c r="E161" s="155"/>
    </row>
    <row r="162" spans="1:5">
      <c r="C162" s="155"/>
    </row>
    <row r="163" spans="1:5">
      <c r="A163" s="269"/>
      <c r="E163" s="155"/>
    </row>
    <row r="164" spans="1:5">
      <c r="C164" s="155"/>
    </row>
    <row r="165" spans="1:5">
      <c r="A165" s="269"/>
      <c r="E165" s="155"/>
    </row>
    <row r="166" spans="1:5">
      <c r="C166" s="155"/>
    </row>
    <row r="167" spans="1:5">
      <c r="A167" s="269"/>
      <c r="E167" s="155"/>
    </row>
    <row r="168" spans="1:5">
      <c r="C168" s="155"/>
    </row>
    <row r="169" spans="1:5">
      <c r="A169" s="269"/>
      <c r="E169" s="155"/>
    </row>
    <row r="170" spans="1:5">
      <c r="C170" s="155"/>
    </row>
    <row r="171" spans="1:5">
      <c r="A171" s="269"/>
      <c r="E171" s="155"/>
    </row>
    <row r="172" spans="1:5">
      <c r="C172" s="155"/>
    </row>
    <row r="173" spans="1:5">
      <c r="A173" s="269"/>
      <c r="E173" s="155"/>
    </row>
    <row r="174" spans="1:5">
      <c r="C174" s="155"/>
    </row>
    <row r="175" spans="1:5">
      <c r="A175" s="269"/>
      <c r="E175" s="155"/>
    </row>
    <row r="176" spans="1:5">
      <c r="C176" s="155"/>
    </row>
    <row r="177" spans="1:5">
      <c r="A177" s="269"/>
      <c r="E177" s="155"/>
    </row>
    <row r="178" spans="1:5">
      <c r="C178" s="155"/>
    </row>
    <row r="179" spans="1:5">
      <c r="A179" s="269"/>
      <c r="E179" s="155"/>
    </row>
    <row r="180" spans="1:5">
      <c r="C180" s="155"/>
    </row>
    <row r="181" spans="1:5">
      <c r="A181" s="269"/>
      <c r="E181" s="155"/>
    </row>
    <row r="182" spans="1:5">
      <c r="C182" s="155"/>
    </row>
    <row r="183" spans="1:5">
      <c r="A183" s="269"/>
      <c r="E183" s="155"/>
    </row>
    <row r="184" spans="1:5">
      <c r="C184" s="155"/>
    </row>
    <row r="185" spans="1:5">
      <c r="A185" s="269"/>
      <c r="E185" s="155"/>
    </row>
    <row r="186" spans="1:5">
      <c r="C186" s="155"/>
    </row>
    <row r="187" spans="1:5">
      <c r="A187" s="269"/>
      <c r="E187" s="155"/>
    </row>
    <row r="188" spans="1:5">
      <c r="C188" s="155"/>
    </row>
    <row r="189" spans="1:5">
      <c r="A189" s="269"/>
      <c r="E189" s="155"/>
    </row>
    <row r="190" spans="1:5">
      <c r="C190" s="155"/>
    </row>
    <row r="191" spans="1:5">
      <c r="A191" s="269"/>
      <c r="E191" s="155"/>
    </row>
    <row r="192" spans="1:5">
      <c r="C192" s="155"/>
    </row>
    <row r="193" spans="1:5">
      <c r="A193" s="269"/>
      <c r="E193" s="155"/>
    </row>
    <row r="194" spans="1:5">
      <c r="C194" s="155"/>
    </row>
    <row r="195" spans="1:5">
      <c r="A195" s="269"/>
      <c r="E195" s="155"/>
    </row>
    <row r="196" spans="1:5">
      <c r="C196" s="155"/>
    </row>
    <row r="197" spans="1:5">
      <c r="A197" s="269"/>
      <c r="E197" s="155"/>
    </row>
    <row r="198" spans="1:5">
      <c r="C198" s="155"/>
    </row>
    <row r="199" spans="1:5">
      <c r="A199" s="269"/>
      <c r="E199" s="155"/>
    </row>
    <row r="200" spans="1:5">
      <c r="C200" s="155"/>
    </row>
    <row r="201" spans="1:5">
      <c r="A201" s="269"/>
      <c r="E201" s="155"/>
    </row>
    <row r="202" spans="1:5">
      <c r="D202" s="155"/>
    </row>
    <row r="203" spans="1:5">
      <c r="A203" s="269"/>
      <c r="E203" s="155"/>
    </row>
    <row r="204" spans="1:5">
      <c r="C204" s="155"/>
    </row>
    <row r="205" spans="1:5">
      <c r="A205" s="269"/>
      <c r="E205" s="155"/>
    </row>
    <row r="206" spans="1:5">
      <c r="C206" s="155"/>
    </row>
    <row r="207" spans="1:5">
      <c r="A207" s="269"/>
      <c r="E207" s="155"/>
    </row>
    <row r="208" spans="1:5">
      <c r="C208" s="155"/>
    </row>
    <row r="209" spans="1:5">
      <c r="A209" s="269"/>
      <c r="E209" s="155"/>
    </row>
    <row r="210" spans="1:5">
      <c r="C210" s="155"/>
    </row>
    <row r="211" spans="1:5">
      <c r="A211" s="269"/>
      <c r="E211" s="155"/>
    </row>
    <row r="212" spans="1:5">
      <c r="C212" s="155"/>
    </row>
    <row r="213" spans="1:5">
      <c r="A213" s="269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37E0C-90FF-4929-8657-AA15A1C2A595}">
  <dimension ref="A6:O212"/>
  <sheetViews>
    <sheetView showGridLines="0" topLeftCell="A12" workbookViewId="0">
      <selection activeCell="A12" sqref="A1:XFD1048576"/>
    </sheetView>
  </sheetViews>
  <sheetFormatPr baseColWidth="10" defaultRowHeight="14.5"/>
  <cols>
    <col min="2" max="2" width="16.54296875" customWidth="1"/>
    <col min="4" max="4" width="22" customWidth="1"/>
    <col min="5" max="5" width="29.26953125" bestFit="1" customWidth="1"/>
    <col min="6" max="6" width="18.81640625" style="220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style="61" bestFit="1" customWidth="1"/>
    <col min="13" max="13" width="14" style="79" customWidth="1"/>
  </cols>
  <sheetData>
    <row r="6" spans="1:15" s="8" customFormat="1" ht="18">
      <c r="A6" s="5" t="s">
        <v>20</v>
      </c>
      <c r="B6" s="5"/>
      <c r="C6" s="5"/>
      <c r="D6" s="5"/>
      <c r="E6" s="6" t="s">
        <v>0</v>
      </c>
      <c r="F6" s="322"/>
      <c r="G6" s="5"/>
      <c r="H6" s="5"/>
      <c r="I6" s="5"/>
      <c r="J6" s="209"/>
      <c r="K6" s="5"/>
      <c r="L6" s="61"/>
      <c r="M6" s="79"/>
    </row>
    <row r="7" spans="1:15">
      <c r="A7" s="1"/>
      <c r="B7" s="1"/>
      <c r="C7" s="1"/>
      <c r="D7" s="1"/>
      <c r="E7" s="1"/>
      <c r="F7" s="153"/>
      <c r="G7" s="1"/>
      <c r="H7" s="1"/>
      <c r="I7" s="1"/>
      <c r="J7" s="76"/>
      <c r="K7" s="1"/>
      <c r="L7" s="61" t="s">
        <v>20</v>
      </c>
    </row>
    <row r="8" spans="1:15">
      <c r="A8" s="1"/>
      <c r="B8" s="1"/>
      <c r="C8" s="1"/>
      <c r="D8" s="1"/>
      <c r="E8" s="1"/>
      <c r="F8" s="153"/>
      <c r="G8" s="1"/>
      <c r="H8" s="1"/>
      <c r="I8" s="4"/>
      <c r="J8" s="76"/>
      <c r="K8" s="76"/>
    </row>
    <row r="9" spans="1:15">
      <c r="A9" s="1"/>
      <c r="B9" s="1"/>
      <c r="C9" s="1"/>
      <c r="D9" s="1"/>
      <c r="E9" s="1"/>
      <c r="F9" s="153" t="s">
        <v>358</v>
      </c>
      <c r="G9" s="1"/>
      <c r="H9" s="1"/>
      <c r="I9" s="4"/>
      <c r="J9" s="76"/>
      <c r="K9" s="1"/>
    </row>
    <row r="10" spans="1:15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5" ht="19" thickBot="1">
      <c r="A11" s="1"/>
      <c r="B11" s="1"/>
      <c r="C11" s="1"/>
      <c r="D11" s="1"/>
      <c r="E11" s="295"/>
      <c r="F11" s="309"/>
      <c r="G11" s="296"/>
      <c r="H11" s="1"/>
      <c r="I11" s="1"/>
      <c r="J11" s="76"/>
      <c r="K11" s="1"/>
    </row>
    <row r="12" spans="1:15" ht="19" thickBot="1">
      <c r="A12" s="1"/>
      <c r="B12" s="331" t="s">
        <v>2</v>
      </c>
      <c r="C12" s="332"/>
      <c r="D12" s="332"/>
      <c r="E12" s="333"/>
      <c r="F12" s="309"/>
      <c r="G12" s="296"/>
      <c r="H12" s="1"/>
      <c r="I12" s="1"/>
      <c r="J12" s="76"/>
      <c r="K12" s="1"/>
    </row>
    <row r="13" spans="1:15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M13" s="79" t="s">
        <v>20</v>
      </c>
    </row>
    <row r="14" spans="1:15" ht="18" thickBot="1">
      <c r="A14" s="11"/>
      <c r="B14" s="334" t="s">
        <v>3</v>
      </c>
      <c r="C14" s="335"/>
      <c r="D14" s="336"/>
      <c r="E14" s="17">
        <f>SUM(E15:E17)</f>
        <v>4248614.8100000005</v>
      </c>
      <c r="F14" s="264"/>
      <c r="G14" s="331" t="s">
        <v>4</v>
      </c>
      <c r="H14" s="332"/>
      <c r="I14" s="332"/>
      <c r="J14" s="332"/>
      <c r="K14" s="333"/>
      <c r="L14" s="13"/>
      <c r="N14" s="79"/>
      <c r="O14" s="79"/>
    </row>
    <row r="15" spans="1:15">
      <c r="A15" s="1"/>
      <c r="B15" s="337" t="s">
        <v>5</v>
      </c>
      <c r="C15" s="338"/>
      <c r="D15" s="339"/>
      <c r="E15" s="20">
        <f>J16+J17+J18+J19</f>
        <v>4177736.5700000003</v>
      </c>
      <c r="F15" s="153"/>
      <c r="G15" s="340" t="s">
        <v>6</v>
      </c>
      <c r="H15" s="341"/>
      <c r="I15" s="21"/>
      <c r="J15" s="342" t="s">
        <v>5</v>
      </c>
      <c r="K15" s="343"/>
      <c r="L15" s="13"/>
      <c r="N15" s="79"/>
      <c r="O15" s="79"/>
    </row>
    <row r="16" spans="1:15">
      <c r="A16" s="1"/>
      <c r="B16" s="349" t="s">
        <v>7</v>
      </c>
      <c r="C16" s="350"/>
      <c r="D16" s="351"/>
      <c r="E16" s="20">
        <f>G22+G23</f>
        <v>16075.74</v>
      </c>
      <c r="F16" s="153"/>
      <c r="G16" s="22">
        <v>13475.22</v>
      </c>
      <c r="H16" s="23" t="s">
        <v>8</v>
      </c>
      <c r="I16" s="24"/>
      <c r="J16" s="25">
        <v>10390.24</v>
      </c>
      <c r="K16" s="26" t="s">
        <v>9</v>
      </c>
      <c r="L16" s="19"/>
      <c r="N16" s="79"/>
      <c r="O16" s="79"/>
    </row>
    <row r="17" spans="1:15">
      <c r="A17" s="1"/>
      <c r="B17" s="352" t="s">
        <v>6</v>
      </c>
      <c r="C17" s="353"/>
      <c r="D17" s="354"/>
      <c r="E17" s="28">
        <f>G16+G17+G18</f>
        <v>54802.5</v>
      </c>
      <c r="F17" s="153">
        <f>E15+E16+E17</f>
        <v>4248614.8100000005</v>
      </c>
      <c r="G17" s="22">
        <v>23141.43</v>
      </c>
      <c r="H17" s="29" t="s">
        <v>10</v>
      </c>
      <c r="I17" s="30"/>
      <c r="J17" s="25">
        <v>106070.02</v>
      </c>
      <c r="K17" s="31" t="s">
        <v>10</v>
      </c>
      <c r="L17" s="13"/>
      <c r="N17" s="79"/>
      <c r="O17" s="79"/>
    </row>
    <row r="18" spans="1:15">
      <c r="A18" s="1"/>
      <c r="B18" s="236" t="s">
        <v>187</v>
      </c>
      <c r="C18" s="237"/>
      <c r="D18" s="238"/>
      <c r="E18" s="28">
        <f>+J22</f>
        <v>5126.9500000000007</v>
      </c>
      <c r="F18" s="153">
        <v>90000</v>
      </c>
      <c r="G18" s="22">
        <v>18185.849999999999</v>
      </c>
      <c r="H18" s="29" t="s">
        <v>12</v>
      </c>
      <c r="I18" s="30"/>
      <c r="J18" s="25">
        <v>3976506.11</v>
      </c>
      <c r="K18" s="31" t="s">
        <v>12</v>
      </c>
      <c r="L18" s="9"/>
      <c r="N18" s="79"/>
      <c r="O18" s="79"/>
    </row>
    <row r="19" spans="1:15">
      <c r="B19" s="379" t="s">
        <v>11</v>
      </c>
      <c r="C19" s="380"/>
      <c r="D19" s="381"/>
      <c r="E19" s="20">
        <f>G29+G31+G30+G28</f>
        <v>15197.939999999999</v>
      </c>
      <c r="F19" s="153">
        <f>+F17-F18</f>
        <v>4158614.8100000005</v>
      </c>
      <c r="G19" s="33"/>
      <c r="H19" s="34"/>
      <c r="I19" s="30"/>
      <c r="J19" s="25">
        <v>84770.2</v>
      </c>
      <c r="K19" s="31" t="s">
        <v>14</v>
      </c>
      <c r="L19" s="8"/>
      <c r="N19" s="79"/>
      <c r="O19" s="79"/>
    </row>
    <row r="20" spans="1:15">
      <c r="B20" s="344" t="s">
        <v>13</v>
      </c>
      <c r="C20" s="345"/>
      <c r="D20" s="346"/>
      <c r="E20" s="20">
        <v>15615859.42</v>
      </c>
      <c r="F20" s="153"/>
      <c r="G20" s="239"/>
      <c r="H20" s="240"/>
      <c r="I20" s="30"/>
      <c r="J20" s="25"/>
      <c r="K20" s="31"/>
      <c r="L20" s="124"/>
      <c r="M20" s="79" t="s">
        <v>405</v>
      </c>
      <c r="N20" s="79"/>
      <c r="O20" s="79"/>
    </row>
    <row r="21" spans="1:15">
      <c r="B21" s="187" t="s">
        <v>15</v>
      </c>
      <c r="C21" s="188"/>
      <c r="D21" s="189"/>
      <c r="E21" s="190">
        <f>SUM(E22:E23)</f>
        <v>0</v>
      </c>
      <c r="F21" s="153"/>
      <c r="G21" s="361" t="s">
        <v>16</v>
      </c>
      <c r="H21" s="362"/>
      <c r="I21" s="36"/>
      <c r="J21" s="241" t="s">
        <v>187</v>
      </c>
      <c r="K21" s="242"/>
      <c r="L21" s="154"/>
      <c r="N21" s="79"/>
      <c r="O21" s="79"/>
    </row>
    <row r="22" spans="1:15" ht="15" customHeight="1">
      <c r="B22" s="303"/>
      <c r="C22" s="304"/>
      <c r="D22" s="308"/>
      <c r="E22" s="190">
        <v>0</v>
      </c>
      <c r="F22" s="153"/>
      <c r="G22" s="44">
        <v>8621.0400000000009</v>
      </c>
      <c r="H22" s="29" t="s">
        <v>10</v>
      </c>
      <c r="I22" s="30"/>
      <c r="J22" s="25">
        <f>20126.95-15000</f>
        <v>5126.9500000000007</v>
      </c>
      <c r="K22" s="31" t="s">
        <v>188</v>
      </c>
      <c r="L22" s="154"/>
      <c r="N22" s="79"/>
      <c r="O22" s="79"/>
    </row>
    <row r="23" spans="1:15" ht="15" customHeight="1">
      <c r="B23" s="187"/>
      <c r="C23" s="188"/>
      <c r="D23" s="308"/>
      <c r="E23" s="190">
        <v>0</v>
      </c>
      <c r="F23" s="153"/>
      <c r="G23" s="44">
        <f>9197.3-1742.6</f>
        <v>7454.6999999999989</v>
      </c>
      <c r="H23" s="29" t="s">
        <v>18</v>
      </c>
      <c r="I23" s="30"/>
      <c r="J23" s="25"/>
      <c r="K23" s="31"/>
      <c r="L23" s="154"/>
      <c r="N23" s="79"/>
      <c r="O23" s="79"/>
    </row>
    <row r="24" spans="1:15" ht="15" thickBot="1">
      <c r="B24" s="202" t="s">
        <v>17</v>
      </c>
      <c r="C24" s="203"/>
      <c r="D24" s="204"/>
      <c r="E24" s="234">
        <v>54434.67</v>
      </c>
      <c r="G24" s="51"/>
      <c r="H24" s="34"/>
      <c r="I24" s="30"/>
      <c r="J24" s="210"/>
      <c r="K24" s="53"/>
      <c r="L24" s="154"/>
      <c r="M24" s="324"/>
      <c r="N24" s="79"/>
      <c r="O24" s="79"/>
    </row>
    <row r="25" spans="1:15" ht="15" thickBot="1">
      <c r="B25" s="202" t="s">
        <v>163</v>
      </c>
      <c r="C25" s="203"/>
      <c r="D25" s="204"/>
      <c r="E25" s="234">
        <v>0</v>
      </c>
      <c r="F25" s="153">
        <f>+F19</f>
        <v>4158614.8100000005</v>
      </c>
      <c r="G25" s="331" t="s">
        <v>21</v>
      </c>
      <c r="H25" s="332"/>
      <c r="I25" s="332"/>
      <c r="J25" s="332"/>
      <c r="K25" s="333"/>
      <c r="L25" s="8"/>
      <c r="N25" s="79"/>
      <c r="O25" s="79"/>
    </row>
    <row r="26" spans="1:15">
      <c r="B26" s="199" t="s">
        <v>22</v>
      </c>
      <c r="C26" s="200"/>
      <c r="D26" s="201"/>
      <c r="E26" s="234">
        <v>933</v>
      </c>
      <c r="F26" s="288">
        <f>SUM(E24:E30)</f>
        <v>55367.67</v>
      </c>
      <c r="G26" s="54"/>
      <c r="H26" s="55"/>
      <c r="I26" s="56"/>
      <c r="J26" s="211"/>
      <c r="K26" s="58"/>
      <c r="N26" s="79"/>
      <c r="O26" s="79"/>
    </row>
    <row r="27" spans="1:15">
      <c r="B27" s="199" t="s">
        <v>80</v>
      </c>
      <c r="C27" s="200"/>
      <c r="D27" s="201"/>
      <c r="E27" s="234">
        <v>0</v>
      </c>
      <c r="F27" s="153">
        <f>+F25-F26</f>
        <v>4103247.1400000006</v>
      </c>
      <c r="G27" s="377" t="s">
        <v>5</v>
      </c>
      <c r="H27" s="378"/>
      <c r="I27" s="59"/>
      <c r="J27" s="60"/>
      <c r="K27" s="45"/>
      <c r="N27" s="79"/>
      <c r="O27" s="79"/>
    </row>
    <row r="28" spans="1:15">
      <c r="B28" s="199" t="s">
        <v>24</v>
      </c>
      <c r="C28" s="200"/>
      <c r="D28" s="201"/>
      <c r="E28" s="49">
        <v>0</v>
      </c>
      <c r="F28" s="221"/>
      <c r="G28" s="22">
        <v>4218.1099999999997</v>
      </c>
      <c r="H28" s="62" t="s">
        <v>9</v>
      </c>
      <c r="I28" s="59"/>
      <c r="J28" s="60"/>
      <c r="K28" s="45"/>
      <c r="N28" s="155"/>
    </row>
    <row r="29" spans="1:15">
      <c r="B29" s="344" t="s">
        <v>69</v>
      </c>
      <c r="C29" s="345"/>
      <c r="D29" s="346"/>
      <c r="E29" s="234">
        <v>0</v>
      </c>
      <c r="G29" s="22">
        <v>1714.01</v>
      </c>
      <c r="H29" s="62" t="s">
        <v>26</v>
      </c>
      <c r="I29" s="63"/>
      <c r="J29" s="64"/>
      <c r="K29" s="65"/>
    </row>
    <row r="30" spans="1:15" ht="15" thickBot="1">
      <c r="B30" s="363" t="s">
        <v>29</v>
      </c>
      <c r="C30" s="364"/>
      <c r="D30" s="365"/>
      <c r="E30" s="66">
        <v>0</v>
      </c>
      <c r="G30" s="67">
        <v>1922.02</v>
      </c>
      <c r="H30" s="68" t="s">
        <v>14</v>
      </c>
      <c r="I30" s="63"/>
      <c r="J30" s="64"/>
      <c r="K30" s="65"/>
      <c r="N30" s="155"/>
    </row>
    <row r="31" spans="1:15" ht="15" thickBot="1">
      <c r="E31" s="79"/>
      <c r="G31" s="71">
        <v>7343.8</v>
      </c>
      <c r="H31" s="72" t="s">
        <v>12</v>
      </c>
      <c r="I31" s="73"/>
      <c r="J31" s="74"/>
      <c r="K31" s="75"/>
    </row>
    <row r="32" spans="1:15">
      <c r="E32" s="79"/>
      <c r="N32" s="155"/>
    </row>
    <row r="33" spans="1:14">
      <c r="E33" s="79"/>
    </row>
    <row r="34" spans="1:14">
      <c r="D34" s="8"/>
      <c r="E34" s="79"/>
      <c r="H34" s="61"/>
      <c r="I34" s="61"/>
      <c r="J34" s="39"/>
      <c r="K34" s="61"/>
      <c r="N34" s="155"/>
    </row>
    <row r="35" spans="1:14">
      <c r="B35" s="61"/>
      <c r="C35" s="61"/>
      <c r="D35" s="8"/>
      <c r="E35" s="110" t="s">
        <v>420</v>
      </c>
      <c r="F35" s="299"/>
      <c r="G35" s="8"/>
      <c r="H35" s="61"/>
      <c r="I35" s="61"/>
      <c r="J35" s="39"/>
      <c r="K35" s="61"/>
    </row>
    <row r="36" spans="1:14">
      <c r="A36" s="61"/>
      <c r="B36" s="61"/>
      <c r="C36" s="61"/>
      <c r="D36" s="8"/>
      <c r="E36" s="110"/>
      <c r="F36" s="299"/>
      <c r="G36" s="8"/>
      <c r="H36" s="13"/>
      <c r="I36" s="61"/>
      <c r="J36" s="13"/>
      <c r="K36" s="83"/>
      <c r="N36" s="155"/>
    </row>
    <row r="37" spans="1:14">
      <c r="A37" s="61"/>
      <c r="B37" s="61"/>
      <c r="C37" s="61"/>
      <c r="D37" s="8"/>
      <c r="E37" s="82" t="s">
        <v>34</v>
      </c>
      <c r="F37" s="299">
        <f>F19</f>
        <v>4158614.8100000005</v>
      </c>
      <c r="G37" s="181"/>
      <c r="H37" s="161"/>
      <c r="I37" s="197"/>
      <c r="J37" s="13"/>
      <c r="K37" s="83"/>
    </row>
    <row r="38" spans="1:14" s="61" customFormat="1" ht="15" customHeight="1">
      <c r="D38" s="8"/>
      <c r="E38" s="82" t="s">
        <v>35</v>
      </c>
      <c r="F38" s="299">
        <f>+E19</f>
        <v>15197.939999999999</v>
      </c>
      <c r="G38" s="86"/>
      <c r="I38" s="197"/>
      <c r="J38" s="13"/>
      <c r="K38" s="83"/>
      <c r="L38" s="88"/>
      <c r="M38" s="79"/>
      <c r="N38" s="273"/>
    </row>
    <row r="39" spans="1:14" s="61" customFormat="1" ht="15" customHeight="1">
      <c r="D39" s="8"/>
      <c r="E39" s="82" t="s">
        <v>36</v>
      </c>
      <c r="F39" s="299">
        <v>0</v>
      </c>
      <c r="G39" s="86"/>
      <c r="H39" s="161"/>
      <c r="I39" s="197"/>
      <c r="J39" s="13"/>
      <c r="K39" s="85"/>
      <c r="L39" s="161"/>
      <c r="M39" s="79"/>
    </row>
    <row r="40" spans="1:14" s="61" customFormat="1" ht="15" customHeight="1">
      <c r="D40" s="8"/>
      <c r="E40" s="82" t="s">
        <v>37</v>
      </c>
      <c r="F40" s="299">
        <v>0</v>
      </c>
      <c r="G40" s="86"/>
      <c r="I40" s="214"/>
      <c r="J40" s="13"/>
      <c r="K40" s="87"/>
      <c r="L40" s="161"/>
      <c r="M40" s="79"/>
      <c r="N40" s="273"/>
    </row>
    <row r="41" spans="1:14" s="61" customFormat="1" ht="15" customHeight="1">
      <c r="D41" s="8"/>
      <c r="E41" s="112" t="s">
        <v>38</v>
      </c>
      <c r="F41" s="225">
        <f>SUM(F37:F40)</f>
        <v>4173812.7500000005</v>
      </c>
      <c r="G41" s="9"/>
      <c r="I41" s="197"/>
      <c r="J41" s="13"/>
      <c r="M41" s="79"/>
    </row>
    <row r="42" spans="1:14" s="61" customFormat="1" ht="15" customHeight="1">
      <c r="D42" s="8"/>
      <c r="E42" s="113"/>
      <c r="F42" s="226"/>
      <c r="G42" s="9"/>
      <c r="I42" s="197"/>
      <c r="J42" s="13"/>
      <c r="M42" s="79"/>
      <c r="N42" s="273"/>
    </row>
    <row r="43" spans="1:14" s="61" customFormat="1" ht="15" customHeight="1">
      <c r="D43" s="8"/>
      <c r="E43" s="113" t="s">
        <v>180</v>
      </c>
      <c r="F43" s="226">
        <v>55000</v>
      </c>
      <c r="G43" s="9"/>
      <c r="H43" s="163"/>
      <c r="I43" s="229"/>
      <c r="J43" s="13"/>
      <c r="M43" s="79"/>
    </row>
    <row r="44" spans="1:14" s="61" customFormat="1" ht="15" customHeight="1">
      <c r="D44" s="8"/>
      <c r="E44" s="113" t="s">
        <v>152</v>
      </c>
      <c r="F44" s="226">
        <v>320000</v>
      </c>
      <c r="G44" s="9"/>
      <c r="H44" s="165"/>
      <c r="I44" s="230"/>
      <c r="J44" s="13"/>
      <c r="M44" s="79"/>
      <c r="N44" s="273"/>
    </row>
    <row r="45" spans="1:14" s="61" customFormat="1" ht="15" customHeight="1">
      <c r="D45" s="8"/>
      <c r="E45" s="113" t="s">
        <v>189</v>
      </c>
      <c r="F45" s="226">
        <v>1350000</v>
      </c>
      <c r="G45" s="9"/>
      <c r="H45" s="165"/>
      <c r="I45" s="230"/>
      <c r="J45" s="13"/>
      <c r="M45" s="79"/>
      <c r="N45" s="273"/>
    </row>
    <row r="46" spans="1:14" s="61" customFormat="1" ht="15" customHeight="1">
      <c r="D46" s="8"/>
      <c r="E46" s="113" t="s">
        <v>419</v>
      </c>
      <c r="F46" s="226">
        <v>100000</v>
      </c>
      <c r="G46" s="9"/>
      <c r="H46" s="165"/>
      <c r="I46" s="230"/>
      <c r="J46" s="13"/>
      <c r="M46" s="79"/>
      <c r="N46" s="273"/>
    </row>
    <row r="47" spans="1:14" s="61" customFormat="1" ht="15" customHeight="1">
      <c r="D47" s="8"/>
      <c r="E47" s="113" t="s">
        <v>81</v>
      </c>
      <c r="F47" s="226">
        <v>1700000</v>
      </c>
      <c r="G47" s="9"/>
      <c r="H47" s="165"/>
      <c r="I47" s="230"/>
      <c r="J47" s="13"/>
      <c r="M47" s="79"/>
      <c r="N47" s="273"/>
    </row>
    <row r="48" spans="1:14" s="61" customFormat="1" ht="15" customHeight="1">
      <c r="D48" s="8"/>
      <c r="E48" s="113" t="s">
        <v>69</v>
      </c>
      <c r="F48" s="226">
        <v>120000</v>
      </c>
      <c r="G48" s="9"/>
      <c r="H48" s="165"/>
      <c r="I48" s="230"/>
      <c r="J48" s="13"/>
      <c r="M48" s="79"/>
      <c r="N48" s="273"/>
    </row>
    <row r="49" spans="1:14" s="61" customFormat="1" ht="15" customHeight="1">
      <c r="D49" s="8"/>
      <c r="E49" s="116" t="s">
        <v>24</v>
      </c>
      <c r="F49" s="221">
        <f>15000+65000+100000+18000+230000</f>
        <v>428000</v>
      </c>
      <c r="G49" s="9"/>
      <c r="H49" s="165"/>
      <c r="I49" s="230"/>
      <c r="J49" s="13"/>
      <c r="M49" s="79"/>
      <c r="N49" s="273"/>
    </row>
    <row r="50" spans="1:14" s="61" customFormat="1" ht="15" customHeight="1">
      <c r="D50" s="8"/>
      <c r="E50" s="116" t="s">
        <v>22</v>
      </c>
      <c r="F50" s="221">
        <v>50000</v>
      </c>
      <c r="G50" s="9"/>
      <c r="H50" s="165"/>
      <c r="I50" s="230"/>
      <c r="J50" s="13"/>
      <c r="M50" s="79"/>
      <c r="N50" s="273"/>
    </row>
    <row r="51" spans="1:14" s="61" customFormat="1" ht="15" customHeight="1">
      <c r="D51" s="8"/>
      <c r="E51" s="116" t="s">
        <v>40</v>
      </c>
      <c r="F51" s="226">
        <v>150000</v>
      </c>
      <c r="G51" s="8"/>
      <c r="H51" s="91"/>
      <c r="I51" s="231"/>
      <c r="J51" s="13"/>
      <c r="M51" s="79"/>
    </row>
    <row r="52" spans="1:14" s="61" customFormat="1" ht="15" customHeight="1">
      <c r="D52" s="8"/>
      <c r="E52" s="118" t="s">
        <v>41</v>
      </c>
      <c r="F52" s="225">
        <f>SUM(F43:F51)</f>
        <v>4273000</v>
      </c>
      <c r="G52" s="8"/>
      <c r="H52" s="96"/>
      <c r="I52" s="231"/>
      <c r="J52" s="262"/>
      <c r="M52" s="79"/>
    </row>
    <row r="53" spans="1:14" s="61" customFormat="1">
      <c r="D53" s="8"/>
      <c r="E53" s="118" t="s">
        <v>42</v>
      </c>
      <c r="F53" s="225">
        <f>F41-F52</f>
        <v>-99187.249999999534</v>
      </c>
      <c r="G53" s="82"/>
      <c r="H53" s="83"/>
      <c r="I53" s="228"/>
      <c r="J53" s="13"/>
      <c r="M53" s="79"/>
    </row>
    <row r="54" spans="1:14" s="61" customFormat="1">
      <c r="D54" s="8"/>
      <c r="E54" s="82"/>
      <c r="F54" s="80"/>
      <c r="G54" s="82"/>
      <c r="H54" s="83"/>
      <c r="I54" s="233"/>
      <c r="J54" s="13"/>
      <c r="M54" s="79"/>
    </row>
    <row r="55" spans="1:14" s="61" customFormat="1">
      <c r="D55" s="8"/>
      <c r="E55" s="82" t="s">
        <v>43</v>
      </c>
      <c r="F55" s="80">
        <v>45000</v>
      </c>
      <c r="G55" s="82"/>
      <c r="H55" s="83"/>
      <c r="I55" s="233"/>
      <c r="J55" s="13"/>
      <c r="M55" s="79"/>
    </row>
    <row r="56" spans="1:14" s="61" customFormat="1">
      <c r="D56" s="8"/>
      <c r="E56" s="82" t="s">
        <v>44</v>
      </c>
      <c r="F56" s="80">
        <f>170000-60000-15000+390000-300000</f>
        <v>185000</v>
      </c>
      <c r="G56" s="82"/>
      <c r="H56" s="83"/>
      <c r="I56" s="233"/>
      <c r="J56" s="13"/>
      <c r="L56" s="91"/>
      <c r="M56" s="79"/>
    </row>
    <row r="57" spans="1:14" s="61" customFormat="1">
      <c r="D57" s="8"/>
      <c r="E57" s="82" t="s">
        <v>386</v>
      </c>
      <c r="F57" s="80">
        <v>3866.8</v>
      </c>
      <c r="G57" s="82"/>
      <c r="H57" s="96"/>
      <c r="I57" s="228"/>
      <c r="J57" s="13"/>
      <c r="L57" s="91"/>
      <c r="M57" s="79"/>
    </row>
    <row r="58" spans="1:14" s="61" customFormat="1">
      <c r="D58" s="8"/>
      <c r="E58" s="82" t="s">
        <v>45</v>
      </c>
      <c r="F58" s="117">
        <v>1163364.29</v>
      </c>
      <c r="G58" s="82"/>
      <c r="H58" s="96"/>
      <c r="I58" s="228"/>
      <c r="J58" s="13"/>
      <c r="L58" s="91"/>
      <c r="M58" s="79"/>
    </row>
    <row r="59" spans="1:14" s="61" customFormat="1">
      <c r="D59" s="8"/>
      <c r="E59" s="82" t="s">
        <v>205</v>
      </c>
      <c r="F59" s="117">
        <v>497555.29</v>
      </c>
      <c r="G59" s="82"/>
      <c r="H59" s="83"/>
      <c r="I59" s="233"/>
      <c r="J59" s="13"/>
      <c r="L59" s="96"/>
      <c r="M59" s="79"/>
    </row>
    <row r="60" spans="1:14" s="61" customFormat="1">
      <c r="B60"/>
      <c r="C60"/>
      <c r="D60" s="8"/>
      <c r="E60" s="82" t="s">
        <v>206</v>
      </c>
      <c r="F60" s="117">
        <v>3030000</v>
      </c>
      <c r="G60" s="8"/>
      <c r="H60" s="96"/>
      <c r="I60" s="219"/>
      <c r="J60" s="13"/>
      <c r="L60" s="96"/>
      <c r="M60" s="79"/>
    </row>
    <row r="61" spans="1:14" s="61" customFormat="1">
      <c r="A61"/>
      <c r="B61"/>
      <c r="C61"/>
      <c r="D61" s="8"/>
      <c r="E61" s="118" t="s">
        <v>46</v>
      </c>
      <c r="F61" s="120">
        <f>SUM(F55:F60)</f>
        <v>4924786.38</v>
      </c>
      <c r="G61" s="8"/>
      <c r="J61" s="13"/>
      <c r="M61" s="79"/>
    </row>
    <row r="62" spans="1:14" s="61" customFormat="1">
      <c r="A62"/>
      <c r="B62"/>
      <c r="C62"/>
      <c r="D62" s="8"/>
      <c r="E62" s="82"/>
      <c r="F62" s="80"/>
      <c r="G62" s="8"/>
      <c r="J62" s="13"/>
      <c r="L62" s="83"/>
      <c r="M62" s="79"/>
    </row>
    <row r="63" spans="1:14">
      <c r="D63" s="8"/>
      <c r="E63" s="118" t="s">
        <v>47</v>
      </c>
      <c r="F63" s="120">
        <f>+F53-F61</f>
        <v>-5023973.629999999</v>
      </c>
      <c r="G63" s="8"/>
      <c r="H63" s="79"/>
    </row>
    <row r="64" spans="1:14">
      <c r="D64" s="8"/>
      <c r="E64" s="8"/>
      <c r="G64" s="8"/>
      <c r="H64" s="79"/>
    </row>
    <row r="65" spans="1:8">
      <c r="D65" s="8"/>
      <c r="E65" s="79"/>
      <c r="G65" s="79"/>
      <c r="H65" s="79"/>
    </row>
    <row r="66" spans="1:8">
      <c r="D66" s="247" t="s">
        <v>192</v>
      </c>
      <c r="E66" s="79"/>
      <c r="F66" s="218"/>
      <c r="G66" s="79"/>
      <c r="H66" s="79"/>
    </row>
    <row r="67" spans="1:8">
      <c r="D67" s="247" t="s">
        <v>194</v>
      </c>
      <c r="E67" s="79"/>
      <c r="F67" s="218"/>
      <c r="G67" s="79"/>
      <c r="H67" s="79"/>
    </row>
    <row r="68" spans="1:8">
      <c r="D68" s="8" t="s">
        <v>9</v>
      </c>
      <c r="E68" s="275"/>
      <c r="F68" s="275"/>
      <c r="G68" s="127">
        <f>SUM(E74:F74)</f>
        <v>0</v>
      </c>
      <c r="H68" s="79"/>
    </row>
    <row r="69" spans="1:8">
      <c r="D69" s="8" t="s">
        <v>195</v>
      </c>
      <c r="E69" s="275"/>
      <c r="F69" s="286"/>
      <c r="G69" s="79"/>
      <c r="H69" s="79"/>
    </row>
    <row r="70" spans="1:8">
      <c r="D70" s="8" t="s">
        <v>188</v>
      </c>
      <c r="E70" s="276"/>
      <c r="F70" s="287"/>
      <c r="G70" s="79"/>
      <c r="H70" s="79"/>
    </row>
    <row r="71" spans="1:8">
      <c r="D71" s="8"/>
      <c r="E71" s="276"/>
      <c r="F71" s="287"/>
      <c r="G71" s="79"/>
      <c r="H71" s="79"/>
    </row>
    <row r="72" spans="1:8">
      <c r="D72" s="8"/>
      <c r="E72" s="276"/>
      <c r="F72" s="287"/>
      <c r="G72" s="79"/>
      <c r="H72" s="79"/>
    </row>
    <row r="73" spans="1:8">
      <c r="D73" s="8"/>
      <c r="E73" s="124"/>
      <c r="F73" s="250"/>
      <c r="G73" s="79"/>
      <c r="H73" s="79"/>
    </row>
    <row r="74" spans="1:8">
      <c r="D74" s="8"/>
      <c r="E74" s="8"/>
      <c r="G74" s="79"/>
      <c r="H74" s="79"/>
    </row>
    <row r="75" spans="1:8">
      <c r="D75" s="8"/>
      <c r="E75" s="8"/>
      <c r="G75" s="79"/>
      <c r="H75" s="79"/>
    </row>
    <row r="76" spans="1:8">
      <c r="A76" s="268"/>
      <c r="D76" s="8"/>
      <c r="E76" s="8"/>
    </row>
    <row r="77" spans="1:8">
      <c r="E77" s="8"/>
    </row>
    <row r="78" spans="1:8">
      <c r="B78" s="235"/>
      <c r="E78" s="8"/>
    </row>
    <row r="79" spans="1:8">
      <c r="E79" s="8"/>
    </row>
    <row r="80" spans="1:8">
      <c r="E80" s="293"/>
    </row>
    <row r="81" spans="1:5">
      <c r="C81" s="155"/>
      <c r="E81" s="8"/>
    </row>
    <row r="82" spans="1:5">
      <c r="A82" s="269"/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93"/>
    </row>
    <row r="111" spans="1:5">
      <c r="C111" s="155"/>
      <c r="E111" s="8"/>
    </row>
    <row r="112" spans="1:5">
      <c r="A112" s="269"/>
      <c r="E112" s="293"/>
    </row>
    <row r="113" spans="1:5">
      <c r="C113" s="155"/>
      <c r="E113" s="8"/>
    </row>
    <row r="114" spans="1:5">
      <c r="A114" s="269"/>
      <c r="E114" s="293"/>
    </row>
    <row r="115" spans="1:5">
      <c r="C115" s="155"/>
      <c r="E115" s="8"/>
    </row>
    <row r="116" spans="1:5">
      <c r="A116" s="269"/>
      <c r="E116" s="293"/>
    </row>
    <row r="117" spans="1:5">
      <c r="C117" s="155"/>
      <c r="E117" s="8"/>
    </row>
    <row r="118" spans="1:5">
      <c r="A118" s="269"/>
      <c r="E118" s="293"/>
    </row>
    <row r="119" spans="1:5">
      <c r="C119" s="155"/>
      <c r="E119" s="8"/>
    </row>
    <row r="120" spans="1:5">
      <c r="A120" s="269"/>
      <c r="E120" s="293"/>
    </row>
    <row r="121" spans="1:5">
      <c r="C121" s="155"/>
      <c r="E121" s="8"/>
    </row>
    <row r="122" spans="1:5">
      <c r="A122" s="269"/>
      <c r="E122" s="293"/>
    </row>
    <row r="123" spans="1:5">
      <c r="C123" s="155"/>
      <c r="E123" s="8"/>
    </row>
    <row r="124" spans="1:5">
      <c r="A124" s="269"/>
      <c r="E124" s="293"/>
    </row>
    <row r="125" spans="1:5">
      <c r="C125" s="155"/>
      <c r="E125" s="8"/>
    </row>
    <row r="126" spans="1:5">
      <c r="A126" s="269"/>
      <c r="E126" s="293"/>
    </row>
    <row r="127" spans="1:5">
      <c r="C127" s="155"/>
      <c r="E127" s="8"/>
    </row>
    <row r="128" spans="1:5">
      <c r="A128" s="269"/>
      <c r="E128" s="293"/>
    </row>
    <row r="129" spans="1:5">
      <c r="C129" s="155"/>
      <c r="E129" s="8"/>
    </row>
    <row r="130" spans="1:5">
      <c r="A130" s="269"/>
      <c r="E130" s="293"/>
    </row>
    <row r="131" spans="1:5">
      <c r="C131" s="155"/>
      <c r="E131" s="8"/>
    </row>
    <row r="132" spans="1:5">
      <c r="A132" s="269"/>
      <c r="E132" s="293"/>
    </row>
    <row r="133" spans="1:5">
      <c r="C133" s="155"/>
      <c r="E133" s="8"/>
    </row>
    <row r="134" spans="1:5">
      <c r="A134" s="269"/>
      <c r="E134" s="293"/>
    </row>
    <row r="135" spans="1:5">
      <c r="C135" s="155"/>
      <c r="E135" s="8"/>
    </row>
    <row r="136" spans="1:5">
      <c r="A136" s="269"/>
      <c r="E136" s="293"/>
    </row>
    <row r="137" spans="1:5">
      <c r="C137" s="155"/>
      <c r="E137" s="8"/>
    </row>
    <row r="138" spans="1:5">
      <c r="A138" s="269"/>
      <c r="E138" s="293"/>
    </row>
    <row r="139" spans="1:5">
      <c r="C139" s="155"/>
      <c r="E139" s="8"/>
    </row>
    <row r="140" spans="1:5">
      <c r="A140" s="269"/>
      <c r="E140" s="293"/>
    </row>
    <row r="141" spans="1:5">
      <c r="C141" s="155"/>
      <c r="E141" s="8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C199" s="155"/>
    </row>
    <row r="200" spans="1:5">
      <c r="A200" s="269"/>
      <c r="E200" s="155"/>
    </row>
    <row r="201" spans="1:5">
      <c r="D201" s="155"/>
    </row>
    <row r="202" spans="1:5">
      <c r="A202" s="269"/>
      <c r="E202" s="155"/>
    </row>
    <row r="203" spans="1:5">
      <c r="C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5">
      <c r="C209" s="155"/>
    </row>
    <row r="210" spans="1:5">
      <c r="A210" s="269"/>
      <c r="E210" s="155"/>
    </row>
    <row r="211" spans="1:5">
      <c r="C211" s="155"/>
    </row>
    <row r="212" spans="1:5">
      <c r="A212" s="269"/>
    </row>
  </sheetData>
  <mergeCells count="16">
    <mergeCell ref="G27:H27"/>
    <mergeCell ref="B29:D29"/>
    <mergeCell ref="B30:D30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E694A-1381-4925-A854-2CFEAF0F79B1}">
  <dimension ref="A6:O212"/>
  <sheetViews>
    <sheetView showGridLines="0" topLeftCell="A7" workbookViewId="0">
      <selection activeCell="A7" sqref="A1:XFD1048576"/>
    </sheetView>
  </sheetViews>
  <sheetFormatPr baseColWidth="10" defaultRowHeight="14.5"/>
  <cols>
    <col min="2" max="2" width="16.54296875" customWidth="1"/>
    <col min="4" max="4" width="22" customWidth="1"/>
    <col min="5" max="5" width="29.26953125" bestFit="1" customWidth="1"/>
    <col min="6" max="6" width="18.81640625" style="220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style="61" bestFit="1" customWidth="1"/>
    <col min="13" max="13" width="14" style="8" customWidth="1"/>
  </cols>
  <sheetData>
    <row r="6" spans="1:15" s="8" customFormat="1" ht="18">
      <c r="A6" s="5" t="s">
        <v>20</v>
      </c>
      <c r="B6" s="5"/>
      <c r="C6" s="5"/>
      <c r="D6" s="5"/>
      <c r="E6" s="6" t="s">
        <v>0</v>
      </c>
      <c r="F6" s="322"/>
      <c r="G6" s="5"/>
      <c r="H6" s="5"/>
      <c r="I6" s="5"/>
      <c r="J6" s="209"/>
      <c r="K6" s="5"/>
      <c r="L6" s="61"/>
    </row>
    <row r="7" spans="1:15">
      <c r="A7" s="1"/>
      <c r="B7" s="1"/>
      <c r="C7" s="1"/>
      <c r="D7" s="1"/>
      <c r="E7" s="1"/>
      <c r="F7" s="153"/>
      <c r="G7" s="1"/>
      <c r="H7" s="1"/>
      <c r="I7" s="1"/>
      <c r="J7" s="76"/>
      <c r="K7" s="1"/>
      <c r="L7" s="61" t="s">
        <v>20</v>
      </c>
    </row>
    <row r="8" spans="1:15">
      <c r="A8" s="1"/>
      <c r="B8" s="1"/>
      <c r="C8" s="1"/>
      <c r="D8" s="1"/>
      <c r="E8" s="1"/>
      <c r="F8" s="153"/>
      <c r="G8" s="1"/>
      <c r="H8" s="1"/>
      <c r="I8" s="4"/>
      <c r="J8" s="76"/>
      <c r="K8" s="76"/>
    </row>
    <row r="9" spans="1:15">
      <c r="A9" s="1"/>
      <c r="B9" s="1"/>
      <c r="C9" s="1"/>
      <c r="D9" s="1"/>
      <c r="E9" s="1"/>
      <c r="F9" s="153" t="s">
        <v>358</v>
      </c>
      <c r="G9" s="1"/>
      <c r="H9" s="1"/>
      <c r="I9" s="4"/>
      <c r="J9" s="76"/>
      <c r="K9" s="1"/>
    </row>
    <row r="10" spans="1:15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5" ht="19" thickBot="1">
      <c r="A11" s="1"/>
      <c r="B11" s="1"/>
      <c r="C11" s="1"/>
      <c r="D11" s="1"/>
      <c r="E11" s="295"/>
      <c r="F11" s="309"/>
      <c r="G11" s="296"/>
      <c r="H11" s="1"/>
      <c r="I11" s="1"/>
      <c r="J11" s="76"/>
      <c r="K11" s="1"/>
    </row>
    <row r="12" spans="1:15" ht="19" thickBot="1">
      <c r="A12" s="1"/>
      <c r="B12" s="331" t="s">
        <v>2</v>
      </c>
      <c r="C12" s="332"/>
      <c r="D12" s="332"/>
      <c r="E12" s="333"/>
      <c r="F12" s="309"/>
      <c r="G12" s="296"/>
      <c r="H12" s="1"/>
      <c r="I12" s="1"/>
      <c r="J12" s="76"/>
      <c r="K12" s="1"/>
    </row>
    <row r="13" spans="1:15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M13" s="8" t="s">
        <v>20</v>
      </c>
    </row>
    <row r="14" spans="1:15" ht="18" thickBot="1">
      <c r="A14" s="11"/>
      <c r="B14" s="334" t="s">
        <v>3</v>
      </c>
      <c r="C14" s="335"/>
      <c r="D14" s="336"/>
      <c r="E14" s="17">
        <f>SUM(E15:E17)</f>
        <v>1097917.0999999999</v>
      </c>
      <c r="F14" s="264"/>
      <c r="G14" s="331" t="s">
        <v>4</v>
      </c>
      <c r="H14" s="332"/>
      <c r="I14" s="332"/>
      <c r="J14" s="332"/>
      <c r="K14" s="333"/>
      <c r="L14" s="13"/>
      <c r="N14" s="79"/>
      <c r="O14" s="79"/>
    </row>
    <row r="15" spans="1:15">
      <c r="A15" s="1"/>
      <c r="B15" s="337" t="s">
        <v>5</v>
      </c>
      <c r="C15" s="338"/>
      <c r="D15" s="339"/>
      <c r="E15" s="20">
        <f>J16+J17+J18+J19</f>
        <v>1022007.5299999999</v>
      </c>
      <c r="F15" s="153"/>
      <c r="G15" s="340" t="s">
        <v>6</v>
      </c>
      <c r="H15" s="341"/>
      <c r="I15" s="21"/>
      <c r="J15" s="342" t="s">
        <v>5</v>
      </c>
      <c r="K15" s="343"/>
      <c r="L15" s="13"/>
      <c r="N15" s="79"/>
      <c r="O15" s="79"/>
    </row>
    <row r="16" spans="1:15">
      <c r="A16" s="1"/>
      <c r="B16" s="349" t="s">
        <v>7</v>
      </c>
      <c r="C16" s="350"/>
      <c r="D16" s="351"/>
      <c r="E16" s="20">
        <f>G22+G23</f>
        <v>15426.740000000002</v>
      </c>
      <c r="F16" s="153"/>
      <c r="G16" s="22">
        <v>13475.22</v>
      </c>
      <c r="H16" s="23" t="s">
        <v>8</v>
      </c>
      <c r="I16" s="24"/>
      <c r="J16" s="25">
        <v>10390.24</v>
      </c>
      <c r="K16" s="26" t="s">
        <v>9</v>
      </c>
      <c r="L16" s="19"/>
      <c r="N16" s="79"/>
      <c r="O16" s="79"/>
    </row>
    <row r="17" spans="1:15">
      <c r="A17" s="1"/>
      <c r="B17" s="352" t="s">
        <v>6</v>
      </c>
      <c r="C17" s="353"/>
      <c r="D17" s="354"/>
      <c r="E17" s="28">
        <f>G16+G17+G18</f>
        <v>60482.830000000009</v>
      </c>
      <c r="F17" s="153">
        <f>E15+E16+E17</f>
        <v>1097917.0999999999</v>
      </c>
      <c r="G17" s="22">
        <v>26591.63</v>
      </c>
      <c r="H17" s="29" t="s">
        <v>10</v>
      </c>
      <c r="I17" s="30"/>
      <c r="J17" s="25">
        <v>30024.62</v>
      </c>
      <c r="K17" s="31" t="s">
        <v>10</v>
      </c>
      <c r="L17" s="13"/>
      <c r="N17" s="79"/>
      <c r="O17" s="79"/>
    </row>
    <row r="18" spans="1:15">
      <c r="A18" s="1"/>
      <c r="B18" s="236" t="s">
        <v>187</v>
      </c>
      <c r="C18" s="237"/>
      <c r="D18" s="238"/>
      <c r="E18" s="28">
        <f>+J22</f>
        <v>15126.95</v>
      </c>
      <c r="F18" s="153">
        <v>90000</v>
      </c>
      <c r="G18" s="22">
        <f>225235.79-204819.81</f>
        <v>20415.98000000001</v>
      </c>
      <c r="H18" s="29" t="s">
        <v>12</v>
      </c>
      <c r="I18" s="30"/>
      <c r="J18" s="25">
        <f>1395080.97-497859.5</f>
        <v>897221.47</v>
      </c>
      <c r="K18" s="31" t="s">
        <v>12</v>
      </c>
      <c r="L18" s="9"/>
      <c r="N18" s="79"/>
      <c r="O18" s="79"/>
    </row>
    <row r="19" spans="1:15">
      <c r="B19" s="379" t="s">
        <v>11</v>
      </c>
      <c r="C19" s="380"/>
      <c r="D19" s="381"/>
      <c r="E19" s="20">
        <f>G29+G31+G30+G28</f>
        <v>15199.550000000003</v>
      </c>
      <c r="F19" s="153">
        <f>+F17-F18</f>
        <v>1007917.0999999999</v>
      </c>
      <c r="G19" s="33"/>
      <c r="H19" s="34"/>
      <c r="I19" s="30"/>
      <c r="J19" s="25">
        <v>84371.199999999997</v>
      </c>
      <c r="K19" s="31" t="s">
        <v>14</v>
      </c>
      <c r="L19" s="8"/>
      <c r="N19" s="79"/>
      <c r="O19" s="79"/>
    </row>
    <row r="20" spans="1:15">
      <c r="B20" s="344" t="s">
        <v>13</v>
      </c>
      <c r="C20" s="345"/>
      <c r="D20" s="346"/>
      <c r="E20" s="20">
        <v>15475201.960000001</v>
      </c>
      <c r="F20" s="153"/>
      <c r="G20" s="239"/>
      <c r="H20" s="240"/>
      <c r="I20" s="30"/>
      <c r="J20" s="25"/>
      <c r="K20" s="31"/>
      <c r="L20" s="124"/>
      <c r="M20" s="8" t="s">
        <v>405</v>
      </c>
      <c r="N20" s="79"/>
      <c r="O20" s="79"/>
    </row>
    <row r="21" spans="1:15">
      <c r="B21" s="187" t="s">
        <v>15</v>
      </c>
      <c r="C21" s="188"/>
      <c r="D21" s="189"/>
      <c r="E21" s="190">
        <f>SUM(E22:E23)</f>
        <v>140657.46</v>
      </c>
      <c r="F21" s="153"/>
      <c r="G21" s="361" t="s">
        <v>16</v>
      </c>
      <c r="H21" s="362"/>
      <c r="I21" s="36"/>
      <c r="J21" s="241" t="s">
        <v>187</v>
      </c>
      <c r="K21" s="242"/>
      <c r="L21" s="154"/>
      <c r="N21" s="79"/>
      <c r="O21" s="79"/>
    </row>
    <row r="22" spans="1:15" ht="15" customHeight="1">
      <c r="B22" s="303"/>
      <c r="C22" s="304"/>
      <c r="D22" s="308" t="s">
        <v>406</v>
      </c>
      <c r="E22" s="190">
        <v>1200.5999999999999</v>
      </c>
      <c r="F22" s="153"/>
      <c r="G22" s="44">
        <v>8621.0400000000009</v>
      </c>
      <c r="H22" s="29" t="s">
        <v>10</v>
      </c>
      <c r="I22" s="30"/>
      <c r="J22" s="25">
        <f>15126.95</f>
        <v>15126.95</v>
      </c>
      <c r="K22" s="31" t="s">
        <v>188</v>
      </c>
      <c r="L22" s="154"/>
      <c r="N22" s="79"/>
      <c r="O22" s="79"/>
    </row>
    <row r="23" spans="1:15" ht="15" customHeight="1">
      <c r="B23" s="187"/>
      <c r="C23" s="188"/>
      <c r="D23" s="308" t="s">
        <v>143</v>
      </c>
      <c r="E23" s="190">
        <v>139456.85999999999</v>
      </c>
      <c r="F23" s="153"/>
      <c r="G23" s="44">
        <v>6805.7</v>
      </c>
      <c r="H23" s="29" t="s">
        <v>18</v>
      </c>
      <c r="I23" s="30"/>
      <c r="J23" s="25"/>
      <c r="K23" s="31"/>
      <c r="L23" s="154"/>
      <c r="N23" s="79"/>
      <c r="O23" s="79"/>
    </row>
    <row r="24" spans="1:15" ht="15" thickBot="1">
      <c r="B24" s="202" t="s">
        <v>17</v>
      </c>
      <c r="C24" s="203"/>
      <c r="D24" s="204"/>
      <c r="E24" s="234">
        <v>0</v>
      </c>
      <c r="G24" s="51"/>
      <c r="H24" s="34"/>
      <c r="I24" s="30"/>
      <c r="J24" s="210"/>
      <c r="K24" s="53"/>
      <c r="L24" s="154"/>
      <c r="M24" s="323"/>
      <c r="N24" s="79"/>
      <c r="O24" s="79"/>
    </row>
    <row r="25" spans="1:15" ht="15" thickBot="1">
      <c r="B25" s="202" t="s">
        <v>163</v>
      </c>
      <c r="C25" s="203"/>
      <c r="D25" s="204"/>
      <c r="E25" s="234">
        <v>55000</v>
      </c>
      <c r="F25" s="153">
        <f>+F19</f>
        <v>1007917.0999999999</v>
      </c>
      <c r="G25" s="331" t="s">
        <v>21</v>
      </c>
      <c r="H25" s="332"/>
      <c r="I25" s="332"/>
      <c r="J25" s="332"/>
      <c r="K25" s="333"/>
      <c r="L25" s="8"/>
      <c r="N25" s="79"/>
      <c r="O25" s="79"/>
    </row>
    <row r="26" spans="1:15">
      <c r="B26" s="199" t="s">
        <v>22</v>
      </c>
      <c r="C26" s="200"/>
      <c r="D26" s="201"/>
      <c r="E26" s="234">
        <v>0</v>
      </c>
      <c r="F26" s="288">
        <f>SUM(E24:E30)</f>
        <v>270521</v>
      </c>
      <c r="G26" s="54"/>
      <c r="H26" s="55"/>
      <c r="I26" s="56"/>
      <c r="J26" s="211"/>
      <c r="K26" s="58"/>
      <c r="N26" s="79"/>
      <c r="O26" s="79"/>
    </row>
    <row r="27" spans="1:15">
      <c r="B27" s="199" t="s">
        <v>81</v>
      </c>
      <c r="C27" s="200"/>
      <c r="D27" s="201"/>
      <c r="E27" s="234">
        <v>215521</v>
      </c>
      <c r="F27" s="153">
        <f>+F25-F26</f>
        <v>737396.09999999986</v>
      </c>
      <c r="G27" s="377" t="s">
        <v>5</v>
      </c>
      <c r="H27" s="378"/>
      <c r="I27" s="59"/>
      <c r="J27" s="60"/>
      <c r="K27" s="45"/>
      <c r="N27" s="79"/>
      <c r="O27" s="79"/>
    </row>
    <row r="28" spans="1:15">
      <c r="B28" s="199" t="s">
        <v>24</v>
      </c>
      <c r="C28" s="200"/>
      <c r="D28" s="201"/>
      <c r="E28" s="49">
        <v>0</v>
      </c>
      <c r="F28" s="221"/>
      <c r="G28" s="22">
        <v>4219.2</v>
      </c>
      <c r="H28" s="62" t="s">
        <v>9</v>
      </c>
      <c r="I28" s="59"/>
      <c r="J28" s="60"/>
      <c r="K28" s="45"/>
      <c r="N28" s="155"/>
    </row>
    <row r="29" spans="1:15">
      <c r="B29" s="344" t="s">
        <v>69</v>
      </c>
      <c r="C29" s="345"/>
      <c r="D29" s="346"/>
      <c r="E29" s="234">
        <v>0</v>
      </c>
      <c r="G29" s="22">
        <v>1714.17</v>
      </c>
      <c r="H29" s="62" t="s">
        <v>26</v>
      </c>
      <c r="I29" s="63"/>
      <c r="J29" s="64"/>
      <c r="K29" s="65"/>
    </row>
    <row r="30" spans="1:15" ht="15" thickBot="1">
      <c r="B30" s="363" t="s">
        <v>29</v>
      </c>
      <c r="C30" s="364"/>
      <c r="D30" s="365"/>
      <c r="E30" s="66">
        <v>0</v>
      </c>
      <c r="G30" s="67">
        <v>1922.38</v>
      </c>
      <c r="H30" s="68" t="s">
        <v>14</v>
      </c>
      <c r="I30" s="63"/>
      <c r="J30" s="64"/>
      <c r="K30" s="65"/>
      <c r="N30" s="155"/>
    </row>
    <row r="31" spans="1:15" ht="15" thickBot="1">
      <c r="E31" s="61"/>
      <c r="F31" s="219"/>
      <c r="G31" s="71">
        <v>7343.8</v>
      </c>
      <c r="H31" s="72" t="s">
        <v>12</v>
      </c>
      <c r="I31" s="73"/>
      <c r="J31" s="74"/>
      <c r="K31" s="75"/>
    </row>
    <row r="32" spans="1:15">
      <c r="E32" s="61"/>
      <c r="F32" s="219"/>
      <c r="N32" s="155"/>
    </row>
    <row r="33" spans="1:14">
      <c r="E33" s="61"/>
      <c r="F33" s="219"/>
    </row>
    <row r="34" spans="1:14">
      <c r="D34" s="8"/>
      <c r="E34" s="61"/>
      <c r="F34" s="219"/>
      <c r="H34" s="61"/>
      <c r="I34" s="61"/>
      <c r="J34" s="39"/>
      <c r="K34" s="61"/>
      <c r="N34" s="155"/>
    </row>
    <row r="35" spans="1:14">
      <c r="B35" s="61"/>
      <c r="C35" s="61"/>
      <c r="D35" s="8"/>
      <c r="E35" s="78" t="s">
        <v>420</v>
      </c>
      <c r="F35" s="297"/>
      <c r="G35" s="8"/>
      <c r="H35" s="61"/>
      <c r="I35" s="61"/>
      <c r="J35" s="39"/>
      <c r="K35" s="61"/>
    </row>
    <row r="36" spans="1:14">
      <c r="A36" s="61"/>
      <c r="B36" s="61"/>
      <c r="C36" s="61"/>
      <c r="D36" s="8"/>
      <c r="E36" s="78"/>
      <c r="F36" s="297"/>
      <c r="G36" s="8"/>
      <c r="H36" s="13"/>
      <c r="I36" s="61"/>
      <c r="J36" s="13"/>
      <c r="K36" s="83"/>
      <c r="N36" s="155"/>
    </row>
    <row r="37" spans="1:14">
      <c r="A37" s="61"/>
      <c r="B37" s="61"/>
      <c r="C37" s="61"/>
      <c r="D37" s="8"/>
      <c r="E37" s="83" t="s">
        <v>34</v>
      </c>
      <c r="F37" s="297">
        <f>F19</f>
        <v>1007917.0999999999</v>
      </c>
      <c r="G37" s="181"/>
      <c r="H37" s="161"/>
      <c r="I37" s="197"/>
      <c r="J37" s="13"/>
      <c r="K37" s="83"/>
    </row>
    <row r="38" spans="1:14" s="61" customFormat="1" ht="15" customHeight="1">
      <c r="D38" s="8"/>
      <c r="E38" s="83" t="s">
        <v>35</v>
      </c>
      <c r="F38" s="297">
        <f>+E19</f>
        <v>15199.550000000003</v>
      </c>
      <c r="G38" s="86"/>
      <c r="I38" s="197"/>
      <c r="J38" s="13"/>
      <c r="K38" s="83"/>
      <c r="L38" s="88"/>
      <c r="M38" s="8"/>
      <c r="N38" s="273"/>
    </row>
    <row r="39" spans="1:14" s="61" customFormat="1" ht="15" customHeight="1">
      <c r="D39" s="8"/>
      <c r="E39" s="83" t="s">
        <v>36</v>
      </c>
      <c r="F39" s="297">
        <v>0</v>
      </c>
      <c r="G39" s="86"/>
      <c r="H39" s="161"/>
      <c r="I39" s="197"/>
      <c r="J39" s="13"/>
      <c r="K39" s="85"/>
      <c r="L39" s="161"/>
      <c r="M39" s="8"/>
    </row>
    <row r="40" spans="1:14" s="61" customFormat="1" ht="15" customHeight="1">
      <c r="D40" s="8"/>
      <c r="E40" s="83" t="s">
        <v>37</v>
      </c>
      <c r="F40" s="297">
        <v>0</v>
      </c>
      <c r="G40" s="86"/>
      <c r="I40" s="214"/>
      <c r="J40" s="13"/>
      <c r="K40" s="87"/>
      <c r="L40" s="161"/>
      <c r="M40" s="8"/>
      <c r="N40" s="273"/>
    </row>
    <row r="41" spans="1:14" s="61" customFormat="1" ht="15" customHeight="1">
      <c r="D41" s="8"/>
      <c r="E41" s="85" t="s">
        <v>38</v>
      </c>
      <c r="F41" s="231">
        <f>SUM(F37:F40)</f>
        <v>1023116.6499999999</v>
      </c>
      <c r="G41" s="9"/>
      <c r="I41" s="197"/>
      <c r="J41" s="13"/>
      <c r="M41" s="8"/>
    </row>
    <row r="42" spans="1:14" s="61" customFormat="1" ht="15" customHeight="1">
      <c r="D42" s="8"/>
      <c r="E42" s="87"/>
      <c r="F42" s="232"/>
      <c r="G42" s="9"/>
      <c r="I42" s="197"/>
      <c r="J42" s="13"/>
      <c r="M42" s="8"/>
      <c r="N42" s="273"/>
    </row>
    <row r="43" spans="1:14" s="61" customFormat="1" ht="15" customHeight="1">
      <c r="D43" s="8"/>
      <c r="E43" s="87" t="s">
        <v>180</v>
      </c>
      <c r="F43" s="232">
        <v>55000</v>
      </c>
      <c r="G43" s="9"/>
      <c r="H43" s="163"/>
      <c r="I43" s="229"/>
      <c r="J43" s="13"/>
      <c r="M43" s="8"/>
    </row>
    <row r="44" spans="1:14" s="61" customFormat="1" ht="15" customHeight="1">
      <c r="D44" s="8"/>
      <c r="E44" s="87" t="s">
        <v>152</v>
      </c>
      <c r="F44" s="232">
        <v>320000</v>
      </c>
      <c r="G44" s="9"/>
      <c r="H44" s="165"/>
      <c r="I44" s="230"/>
      <c r="J44" s="13"/>
      <c r="M44" s="8"/>
      <c r="N44" s="273"/>
    </row>
    <row r="45" spans="1:14" s="61" customFormat="1" ht="15" customHeight="1">
      <c r="D45" s="8"/>
      <c r="E45" s="87" t="s">
        <v>189</v>
      </c>
      <c r="F45" s="232">
        <v>0</v>
      </c>
      <c r="G45" s="226">
        <v>1350000</v>
      </c>
      <c r="H45" s="165"/>
      <c r="I45" s="230"/>
      <c r="J45" s="13"/>
      <c r="M45" s="8"/>
      <c r="N45" s="273"/>
    </row>
    <row r="46" spans="1:14" s="61" customFormat="1" ht="15" customHeight="1">
      <c r="D46" s="8"/>
      <c r="E46" s="87" t="s">
        <v>419</v>
      </c>
      <c r="F46" s="232">
        <v>0</v>
      </c>
      <c r="G46" s="226">
        <v>100000</v>
      </c>
      <c r="H46" s="165"/>
      <c r="I46" s="230"/>
      <c r="J46" s="13"/>
      <c r="M46" s="8"/>
      <c r="N46" s="273"/>
    </row>
    <row r="47" spans="1:14" s="61" customFormat="1" ht="15" customHeight="1">
      <c r="D47" s="8"/>
      <c r="E47" s="87" t="s">
        <v>81</v>
      </c>
      <c r="F47" s="232">
        <f>1700000-1149618</f>
        <v>550382</v>
      </c>
      <c r="G47" s="9"/>
      <c r="H47" s="165"/>
      <c r="I47" s="230"/>
      <c r="J47" s="13"/>
      <c r="M47" s="8"/>
      <c r="N47" s="273"/>
    </row>
    <row r="48" spans="1:14" s="61" customFormat="1" ht="15" customHeight="1">
      <c r="D48" s="8"/>
      <c r="E48" s="87" t="s">
        <v>69</v>
      </c>
      <c r="F48" s="232">
        <f>11216+13459+11216</f>
        <v>35891</v>
      </c>
      <c r="G48" s="9"/>
      <c r="H48" s="165"/>
      <c r="I48" s="230"/>
      <c r="J48" s="13"/>
      <c r="M48" s="8"/>
      <c r="N48" s="273"/>
    </row>
    <row r="49" spans="1:14" s="61" customFormat="1" ht="15" customHeight="1">
      <c r="D49" s="8"/>
      <c r="E49" s="91" t="s">
        <v>24</v>
      </c>
      <c r="F49" s="228">
        <f>15000+65000+100000+18000+230000</f>
        <v>428000</v>
      </c>
      <c r="G49" s="9"/>
      <c r="H49" s="165"/>
      <c r="I49" s="230"/>
      <c r="J49" s="13"/>
      <c r="M49" s="8"/>
      <c r="N49" s="273"/>
    </row>
    <row r="50" spans="1:14" s="61" customFormat="1" ht="15" customHeight="1">
      <c r="D50" s="8"/>
      <c r="E50" s="91" t="s">
        <v>22</v>
      </c>
      <c r="F50" s="228">
        <v>50000</v>
      </c>
      <c r="G50" s="9"/>
      <c r="H50" s="165"/>
      <c r="I50" s="230"/>
      <c r="J50" s="13"/>
      <c r="M50" s="8"/>
      <c r="N50" s="273"/>
    </row>
    <row r="51" spans="1:14" s="61" customFormat="1" ht="15" customHeight="1">
      <c r="D51" s="8"/>
      <c r="E51" s="91" t="s">
        <v>40</v>
      </c>
      <c r="F51" s="232">
        <v>150000</v>
      </c>
      <c r="G51" s="8"/>
      <c r="H51" s="91"/>
      <c r="I51" s="231"/>
      <c r="J51" s="13"/>
      <c r="M51" s="8"/>
    </row>
    <row r="52" spans="1:14" s="61" customFormat="1" ht="15" customHeight="1">
      <c r="D52" s="8"/>
      <c r="E52" s="96" t="s">
        <v>41</v>
      </c>
      <c r="F52" s="231">
        <f>SUM(F43:F51)</f>
        <v>1589273</v>
      </c>
      <c r="G52" s="8"/>
      <c r="H52" s="96"/>
      <c r="I52" s="231"/>
      <c r="J52" s="262"/>
      <c r="M52" s="8"/>
    </row>
    <row r="53" spans="1:14" s="61" customFormat="1">
      <c r="D53" s="8"/>
      <c r="E53" s="96" t="s">
        <v>42</v>
      </c>
      <c r="F53" s="231">
        <f>F41-F52</f>
        <v>-566156.35000000009</v>
      </c>
      <c r="G53" s="82"/>
      <c r="H53" s="83"/>
      <c r="I53" s="228"/>
      <c r="J53" s="13"/>
      <c r="M53" s="8"/>
    </row>
    <row r="54" spans="1:14" s="61" customFormat="1">
      <c r="D54" s="8"/>
      <c r="E54" s="83"/>
      <c r="F54" s="151"/>
      <c r="G54" s="82"/>
      <c r="H54" s="83"/>
      <c r="I54" s="233"/>
      <c r="J54" s="13"/>
      <c r="M54" s="8"/>
    </row>
    <row r="55" spans="1:14" s="61" customFormat="1">
      <c r="D55" s="8"/>
      <c r="E55" s="83" t="s">
        <v>43</v>
      </c>
      <c r="F55" s="151">
        <v>45000</v>
      </c>
      <c r="G55" s="82"/>
      <c r="H55" s="83"/>
      <c r="I55" s="233"/>
      <c r="J55" s="13"/>
      <c r="M55" s="8"/>
    </row>
    <row r="56" spans="1:14" s="61" customFormat="1">
      <c r="D56" s="8"/>
      <c r="E56" s="83" t="s">
        <v>44</v>
      </c>
      <c r="F56" s="151">
        <f>170000-60000-15000+390000-300000</f>
        <v>185000</v>
      </c>
      <c r="G56" s="82"/>
      <c r="H56" s="83"/>
      <c r="I56" s="233"/>
      <c r="J56" s="13"/>
      <c r="L56" s="91"/>
      <c r="M56" s="8"/>
    </row>
    <row r="57" spans="1:14" s="61" customFormat="1">
      <c r="D57" s="8"/>
      <c r="E57" s="83" t="s">
        <v>386</v>
      </c>
      <c r="F57" s="151">
        <v>3866.8</v>
      </c>
      <c r="G57" s="82"/>
      <c r="H57" s="96"/>
      <c r="I57" s="228"/>
      <c r="J57" s="13"/>
      <c r="L57" s="91"/>
      <c r="M57" s="8"/>
    </row>
    <row r="58" spans="1:14" s="61" customFormat="1">
      <c r="D58" s="8"/>
      <c r="E58" s="83" t="s">
        <v>45</v>
      </c>
      <c r="F58" s="95">
        <v>1163364.29</v>
      </c>
      <c r="G58" s="82"/>
      <c r="H58" s="96"/>
      <c r="I58" s="228"/>
      <c r="J58" s="13"/>
      <c r="L58" s="91"/>
      <c r="M58" s="8"/>
    </row>
    <row r="59" spans="1:14" s="61" customFormat="1">
      <c r="D59" s="8"/>
      <c r="E59" s="83" t="s">
        <v>205</v>
      </c>
      <c r="F59" s="95">
        <v>0</v>
      </c>
      <c r="G59" s="82"/>
      <c r="H59" s="83"/>
      <c r="I59" s="233"/>
      <c r="J59" s="13"/>
      <c r="L59" s="96"/>
      <c r="M59" s="8"/>
    </row>
    <row r="60" spans="1:14" s="61" customFormat="1">
      <c r="B60"/>
      <c r="C60"/>
      <c r="D60" s="8"/>
      <c r="E60" s="83" t="s">
        <v>206</v>
      </c>
      <c r="F60" s="95">
        <v>1530000</v>
      </c>
      <c r="H60" s="96"/>
      <c r="I60" s="219"/>
      <c r="J60" s="13"/>
      <c r="L60" s="96"/>
      <c r="M60" s="8"/>
    </row>
    <row r="61" spans="1:14" s="61" customFormat="1">
      <c r="A61"/>
      <c r="B61"/>
      <c r="C61"/>
      <c r="D61" s="8"/>
      <c r="E61" s="96" t="s">
        <v>46</v>
      </c>
      <c r="F61" s="99">
        <f>SUM(F55:F60)</f>
        <v>2927231.09</v>
      </c>
      <c r="J61" s="13"/>
      <c r="M61" s="8"/>
    </row>
    <row r="62" spans="1:14" s="61" customFormat="1">
      <c r="A62"/>
      <c r="B62"/>
      <c r="C62"/>
      <c r="D62" s="8"/>
      <c r="E62" s="83"/>
      <c r="F62" s="151"/>
      <c r="J62" s="13"/>
      <c r="L62" s="83"/>
      <c r="M62" s="8"/>
    </row>
    <row r="63" spans="1:14">
      <c r="D63" s="8"/>
      <c r="E63" s="96" t="s">
        <v>47</v>
      </c>
      <c r="F63" s="99">
        <f>+F53-F61</f>
        <v>-3493387.44</v>
      </c>
      <c r="G63" s="61"/>
      <c r="H63" s="79"/>
    </row>
    <row r="64" spans="1:14">
      <c r="D64" s="8"/>
      <c r="E64" s="61"/>
      <c r="F64" s="219"/>
      <c r="G64" s="61"/>
      <c r="H64" s="79"/>
    </row>
    <row r="65" spans="1:8">
      <c r="D65" s="8"/>
      <c r="E65" s="61"/>
      <c r="F65" s="219"/>
      <c r="G65" s="61"/>
      <c r="H65" s="79"/>
    </row>
    <row r="66" spans="1:8">
      <c r="D66" s="247" t="s">
        <v>192</v>
      </c>
      <c r="E66" s="61"/>
      <c r="F66" s="219"/>
      <c r="G66" s="79"/>
      <c r="H66" s="79"/>
    </row>
    <row r="67" spans="1:8">
      <c r="D67" s="247" t="s">
        <v>194</v>
      </c>
      <c r="E67" s="61"/>
      <c r="F67" s="219"/>
      <c r="G67" s="79"/>
      <c r="H67" s="79"/>
    </row>
    <row r="68" spans="1:8">
      <c r="D68" s="8" t="s">
        <v>9</v>
      </c>
      <c r="E68" s="243"/>
      <c r="F68" s="243"/>
      <c r="G68" s="127">
        <f>SUM(E74:F74)</f>
        <v>0</v>
      </c>
      <c r="H68" s="79"/>
    </row>
    <row r="69" spans="1:8">
      <c r="D69" s="8" t="s">
        <v>195</v>
      </c>
      <c r="E69" s="243"/>
      <c r="F69" s="244"/>
      <c r="G69" s="79"/>
      <c r="H69" s="79"/>
    </row>
    <row r="70" spans="1:8">
      <c r="D70" s="8" t="s">
        <v>188</v>
      </c>
      <c r="E70" s="245"/>
      <c r="F70" s="246"/>
      <c r="G70" s="79"/>
      <c r="H70" s="79"/>
    </row>
    <row r="71" spans="1:8">
      <c r="D71" s="8"/>
      <c r="E71" s="245"/>
      <c r="F71" s="246"/>
      <c r="G71" s="79"/>
      <c r="H71" s="79"/>
    </row>
    <row r="72" spans="1:8">
      <c r="D72" s="8"/>
      <c r="E72" s="276"/>
      <c r="F72" s="287"/>
      <c r="G72" s="79"/>
      <c r="H72" s="79"/>
    </row>
    <row r="73" spans="1:8">
      <c r="D73" s="8"/>
      <c r="E73" s="124"/>
      <c r="F73" s="250"/>
      <c r="G73" s="79"/>
      <c r="H73" s="79"/>
    </row>
    <row r="74" spans="1:8">
      <c r="D74" s="8"/>
      <c r="E74" s="8"/>
      <c r="G74" s="79"/>
      <c r="H74" s="79"/>
    </row>
    <row r="75" spans="1:8">
      <c r="D75" s="8"/>
      <c r="E75" s="8"/>
      <c r="G75" s="79"/>
      <c r="H75" s="79"/>
    </row>
    <row r="76" spans="1:8">
      <c r="A76" s="268"/>
      <c r="D76" s="8"/>
      <c r="E76" s="8"/>
    </row>
    <row r="77" spans="1:8">
      <c r="E77" s="8"/>
    </row>
    <row r="78" spans="1:8">
      <c r="B78" s="235"/>
      <c r="E78" s="8"/>
    </row>
    <row r="79" spans="1:8">
      <c r="E79" s="8"/>
    </row>
    <row r="80" spans="1:8">
      <c r="E80" s="293"/>
    </row>
    <row r="81" spans="1:5">
      <c r="C81" s="155"/>
      <c r="E81" s="8"/>
    </row>
    <row r="82" spans="1:5">
      <c r="A82" s="269"/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93"/>
    </row>
    <row r="111" spans="1:5">
      <c r="C111" s="155"/>
      <c r="E111" s="8"/>
    </row>
    <row r="112" spans="1:5">
      <c r="A112" s="269"/>
      <c r="E112" s="293"/>
    </row>
    <row r="113" spans="1:5">
      <c r="C113" s="155"/>
      <c r="E113" s="8"/>
    </row>
    <row r="114" spans="1:5">
      <c r="A114" s="269"/>
      <c r="E114" s="293"/>
    </row>
    <row r="115" spans="1:5">
      <c r="C115" s="155"/>
      <c r="E115" s="8"/>
    </row>
    <row r="116" spans="1:5">
      <c r="A116" s="269"/>
      <c r="E116" s="293"/>
    </row>
    <row r="117" spans="1:5">
      <c r="C117" s="155"/>
      <c r="E117" s="8"/>
    </row>
    <row r="118" spans="1:5">
      <c r="A118" s="269"/>
      <c r="E118" s="293"/>
    </row>
    <row r="119" spans="1:5">
      <c r="C119" s="155"/>
      <c r="E119" s="8"/>
    </row>
    <row r="120" spans="1:5">
      <c r="A120" s="269"/>
      <c r="E120" s="293"/>
    </row>
    <row r="121" spans="1:5">
      <c r="C121" s="155"/>
      <c r="E121" s="8"/>
    </row>
    <row r="122" spans="1:5">
      <c r="A122" s="269"/>
      <c r="E122" s="293"/>
    </row>
    <row r="123" spans="1:5">
      <c r="C123" s="155"/>
      <c r="E123" s="8"/>
    </row>
    <row r="124" spans="1:5">
      <c r="A124" s="269"/>
      <c r="E124" s="293"/>
    </row>
    <row r="125" spans="1:5">
      <c r="C125" s="155"/>
      <c r="E125" s="8"/>
    </row>
    <row r="126" spans="1:5">
      <c r="A126" s="269"/>
      <c r="E126" s="293"/>
    </row>
    <row r="127" spans="1:5">
      <c r="C127" s="155"/>
      <c r="E127" s="8"/>
    </row>
    <row r="128" spans="1:5">
      <c r="A128" s="269"/>
      <c r="E128" s="293"/>
    </row>
    <row r="129" spans="1:5">
      <c r="C129" s="155"/>
      <c r="E129" s="8"/>
    </row>
    <row r="130" spans="1:5">
      <c r="A130" s="269"/>
      <c r="E130" s="293"/>
    </row>
    <row r="131" spans="1:5">
      <c r="C131" s="155"/>
      <c r="E131" s="8"/>
    </row>
    <row r="132" spans="1:5">
      <c r="A132" s="269"/>
      <c r="E132" s="293"/>
    </row>
    <row r="133" spans="1:5">
      <c r="C133" s="155"/>
      <c r="E133" s="8"/>
    </row>
    <row r="134" spans="1:5">
      <c r="A134" s="269"/>
      <c r="E134" s="293"/>
    </row>
    <row r="135" spans="1:5">
      <c r="C135" s="155"/>
      <c r="E135" s="8"/>
    </row>
    <row r="136" spans="1:5">
      <c r="A136" s="269"/>
      <c r="E136" s="293"/>
    </row>
    <row r="137" spans="1:5">
      <c r="C137" s="155"/>
      <c r="E137" s="8"/>
    </row>
    <row r="138" spans="1:5">
      <c r="A138" s="269"/>
      <c r="E138" s="293"/>
    </row>
    <row r="139" spans="1:5">
      <c r="C139" s="155"/>
      <c r="E139" s="8"/>
    </row>
    <row r="140" spans="1:5">
      <c r="A140" s="269"/>
      <c r="E140" s="293"/>
    </row>
    <row r="141" spans="1:5">
      <c r="C141" s="155"/>
      <c r="E141" s="8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C199" s="155"/>
    </row>
    <row r="200" spans="1:5">
      <c r="A200" s="269"/>
      <c r="E200" s="155"/>
    </row>
    <row r="201" spans="1:5">
      <c r="D201" s="155"/>
    </row>
    <row r="202" spans="1:5">
      <c r="A202" s="269"/>
      <c r="E202" s="155"/>
    </row>
    <row r="203" spans="1:5">
      <c r="C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5">
      <c r="C209" s="155"/>
    </row>
    <row r="210" spans="1:5">
      <c r="A210" s="269"/>
      <c r="E210" s="155"/>
    </row>
    <row r="211" spans="1:5">
      <c r="C211" s="155"/>
    </row>
    <row r="212" spans="1:5">
      <c r="A212" s="269"/>
    </row>
  </sheetData>
  <mergeCells count="16">
    <mergeCell ref="G27:H27"/>
    <mergeCell ref="B29:D29"/>
    <mergeCell ref="B30:D30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34898-00AA-47F0-8A80-D4CF39A9C461}">
  <dimension ref="A6:O212"/>
  <sheetViews>
    <sheetView showGridLines="0" workbookViewId="0">
      <selection sqref="A1:XFD1048576"/>
    </sheetView>
  </sheetViews>
  <sheetFormatPr baseColWidth="10" defaultRowHeight="14.5"/>
  <cols>
    <col min="2" max="2" width="16.54296875" customWidth="1"/>
    <col min="4" max="4" width="22" customWidth="1"/>
    <col min="5" max="5" width="29.26953125" bestFit="1" customWidth="1"/>
    <col min="6" max="6" width="18.81640625" style="220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style="61" bestFit="1" customWidth="1"/>
    <col min="13" max="13" width="14" style="61" customWidth="1"/>
  </cols>
  <sheetData>
    <row r="6" spans="1:15" s="8" customFormat="1" ht="18">
      <c r="A6" s="5" t="s">
        <v>20</v>
      </c>
      <c r="B6" s="5"/>
      <c r="C6" s="5"/>
      <c r="D6" s="5"/>
      <c r="E6" s="6" t="s">
        <v>0</v>
      </c>
      <c r="F6" s="322"/>
      <c r="G6" s="5"/>
      <c r="H6" s="5"/>
      <c r="I6" s="5"/>
      <c r="J6" s="209"/>
      <c r="K6" s="5"/>
      <c r="L6" s="61"/>
      <c r="M6" s="61"/>
    </row>
    <row r="7" spans="1:15">
      <c r="A7" s="1"/>
      <c r="B7" s="1"/>
      <c r="C7" s="1"/>
      <c r="D7" s="1"/>
      <c r="E7" s="1"/>
      <c r="F7" s="153"/>
      <c r="G7" s="1"/>
      <c r="H7" s="1"/>
      <c r="I7" s="1"/>
      <c r="J7" s="76"/>
      <c r="K7" s="1"/>
      <c r="L7" s="61" t="s">
        <v>20</v>
      </c>
    </row>
    <row r="8" spans="1:15">
      <c r="A8" s="1"/>
      <c r="B8" s="1"/>
      <c r="C8" s="1"/>
      <c r="D8" s="1"/>
      <c r="E8" s="1"/>
      <c r="F8" s="153"/>
      <c r="G8" s="1"/>
      <c r="H8" s="1"/>
      <c r="I8" s="4"/>
      <c r="J8" s="76"/>
      <c r="K8" s="76"/>
    </row>
    <row r="9" spans="1:15">
      <c r="A9" s="1"/>
      <c r="B9" s="1"/>
      <c r="C9" s="1"/>
      <c r="D9" s="1"/>
      <c r="E9" s="1"/>
      <c r="F9" s="153" t="s">
        <v>358</v>
      </c>
      <c r="G9" s="1"/>
      <c r="H9" s="1"/>
      <c r="I9" s="4"/>
      <c r="J9" s="76"/>
      <c r="K9" s="1"/>
    </row>
    <row r="10" spans="1:15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5" ht="19" thickBot="1">
      <c r="A11" s="1"/>
      <c r="B11" s="1"/>
      <c r="C11" s="1"/>
      <c r="D11" s="1"/>
      <c r="E11" s="295"/>
      <c r="F11" s="309"/>
      <c r="G11" s="296"/>
      <c r="H11" s="1"/>
      <c r="I11" s="1"/>
      <c r="J11" s="76"/>
      <c r="K11" s="1"/>
    </row>
    <row r="12" spans="1:15" ht="19" thickBot="1">
      <c r="A12" s="1"/>
      <c r="B12" s="331" t="s">
        <v>2</v>
      </c>
      <c r="C12" s="332"/>
      <c r="D12" s="332"/>
      <c r="E12" s="333"/>
      <c r="F12" s="309"/>
      <c r="G12" s="296"/>
      <c r="H12" s="1"/>
      <c r="I12" s="1"/>
      <c r="J12" s="76"/>
      <c r="K12" s="1"/>
    </row>
    <row r="13" spans="1:15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M13" s="61" t="s">
        <v>20</v>
      </c>
    </row>
    <row r="14" spans="1:15" ht="18" thickBot="1">
      <c r="A14" s="11"/>
      <c r="B14" s="334" t="s">
        <v>3</v>
      </c>
      <c r="C14" s="335"/>
      <c r="D14" s="336"/>
      <c r="E14" s="17">
        <f>SUM(E15:E17)</f>
        <v>1098394.9099999999</v>
      </c>
      <c r="F14" s="264"/>
      <c r="G14" s="331" t="s">
        <v>4</v>
      </c>
      <c r="H14" s="332"/>
      <c r="I14" s="332"/>
      <c r="J14" s="332"/>
      <c r="K14" s="333"/>
      <c r="L14" s="13"/>
      <c r="N14" s="79"/>
      <c r="O14" s="79"/>
    </row>
    <row r="15" spans="1:15">
      <c r="A15" s="1"/>
      <c r="B15" s="337" t="s">
        <v>5</v>
      </c>
      <c r="C15" s="338"/>
      <c r="D15" s="339"/>
      <c r="E15" s="20">
        <f>J16+J17+J18+J19</f>
        <v>1036918.74</v>
      </c>
      <c r="F15" s="153"/>
      <c r="G15" s="340" t="s">
        <v>6</v>
      </c>
      <c r="H15" s="341"/>
      <c r="I15" s="21"/>
      <c r="J15" s="342" t="s">
        <v>5</v>
      </c>
      <c r="K15" s="343"/>
      <c r="L15" s="13"/>
      <c r="N15" s="79"/>
      <c r="O15" s="79"/>
    </row>
    <row r="16" spans="1:15">
      <c r="A16" s="1"/>
      <c r="B16" s="349" t="s">
        <v>7</v>
      </c>
      <c r="C16" s="350"/>
      <c r="D16" s="351"/>
      <c r="E16" s="20">
        <f>G22+G23</f>
        <v>15426.740000000002</v>
      </c>
      <c r="F16" s="153"/>
      <c r="G16" s="22">
        <v>13475.22</v>
      </c>
      <c r="H16" s="23" t="s">
        <v>8</v>
      </c>
      <c r="I16" s="24"/>
      <c r="J16" s="25">
        <v>12530.74</v>
      </c>
      <c r="K16" s="26" t="s">
        <v>9</v>
      </c>
      <c r="L16" s="19"/>
      <c r="N16" s="79"/>
      <c r="O16" s="79"/>
    </row>
    <row r="17" spans="1:15">
      <c r="A17" s="1"/>
      <c r="B17" s="352" t="s">
        <v>6</v>
      </c>
      <c r="C17" s="353"/>
      <c r="D17" s="354"/>
      <c r="E17" s="28">
        <f>G16+G17+G18</f>
        <v>46049.430000000008</v>
      </c>
      <c r="F17" s="153">
        <f>E15+E16+E17</f>
        <v>1098394.9099999999</v>
      </c>
      <c r="G17" s="22">
        <v>12158.23</v>
      </c>
      <c r="H17" s="29" t="s">
        <v>10</v>
      </c>
      <c r="I17" s="30"/>
      <c r="J17" s="25">
        <v>60267.96</v>
      </c>
      <c r="K17" s="31" t="s">
        <v>10</v>
      </c>
      <c r="L17" s="13"/>
      <c r="N17" s="79"/>
      <c r="O17" s="79"/>
    </row>
    <row r="18" spans="1:15">
      <c r="A18" s="1"/>
      <c r="B18" s="236" t="s">
        <v>187</v>
      </c>
      <c r="C18" s="237"/>
      <c r="D18" s="238"/>
      <c r="E18" s="28">
        <f>+J22</f>
        <v>15126.95</v>
      </c>
      <c r="F18" s="153">
        <v>90000</v>
      </c>
      <c r="G18" s="22">
        <f>225235.79-204819.81</f>
        <v>20415.98000000001</v>
      </c>
      <c r="H18" s="29" t="s">
        <v>12</v>
      </c>
      <c r="I18" s="30"/>
      <c r="J18" s="25">
        <v>802934.6</v>
      </c>
      <c r="K18" s="31" t="s">
        <v>12</v>
      </c>
      <c r="L18" s="9"/>
      <c r="N18" s="79"/>
      <c r="O18" s="79"/>
    </row>
    <row r="19" spans="1:15">
      <c r="B19" s="379" t="s">
        <v>11</v>
      </c>
      <c r="C19" s="380"/>
      <c r="D19" s="381"/>
      <c r="E19" s="20">
        <f>G29+G31+G30+G28</f>
        <v>15204.98</v>
      </c>
      <c r="F19" s="153">
        <f>+F17-F18</f>
        <v>1008394.9099999999</v>
      </c>
      <c r="G19" s="33"/>
      <c r="H19" s="34"/>
      <c r="I19" s="30"/>
      <c r="J19" s="25">
        <v>161185.44</v>
      </c>
      <c r="K19" s="31" t="s">
        <v>14</v>
      </c>
      <c r="L19" s="8"/>
      <c r="N19" s="79"/>
      <c r="O19" s="79"/>
    </row>
    <row r="20" spans="1:15">
      <c r="B20" s="344" t="s">
        <v>13</v>
      </c>
      <c r="C20" s="345"/>
      <c r="D20" s="346"/>
      <c r="E20" s="20">
        <v>15412942.619999999</v>
      </c>
      <c r="F20" s="153"/>
      <c r="G20" s="239"/>
      <c r="H20" s="240"/>
      <c r="I20" s="30"/>
      <c r="J20" s="25"/>
      <c r="K20" s="31"/>
      <c r="L20" s="124"/>
      <c r="M20" s="61" t="s">
        <v>405</v>
      </c>
      <c r="N20" s="79"/>
      <c r="O20" s="79"/>
    </row>
    <row r="21" spans="1:15">
      <c r="B21" s="187" t="s">
        <v>15</v>
      </c>
      <c r="C21" s="188"/>
      <c r="D21" s="189"/>
      <c r="E21" s="190">
        <f>SUM(E22:E23)</f>
        <v>267561.98</v>
      </c>
      <c r="F21" s="153"/>
      <c r="G21" s="361" t="s">
        <v>16</v>
      </c>
      <c r="H21" s="362"/>
      <c r="I21" s="36"/>
      <c r="J21" s="241" t="s">
        <v>187</v>
      </c>
      <c r="K21" s="242"/>
      <c r="L21" s="154"/>
      <c r="N21" s="79"/>
      <c r="O21" s="79"/>
    </row>
    <row r="22" spans="1:15" ht="15" customHeight="1">
      <c r="B22" s="303"/>
      <c r="C22" s="304"/>
      <c r="D22" s="308" t="s">
        <v>406</v>
      </c>
      <c r="E22" s="190">
        <v>7881.5</v>
      </c>
      <c r="F22" s="153"/>
      <c r="G22" s="44">
        <v>8621.0400000000009</v>
      </c>
      <c r="H22" s="29" t="s">
        <v>10</v>
      </c>
      <c r="I22" s="30"/>
      <c r="J22" s="25">
        <f>15126.95</f>
        <v>15126.95</v>
      </c>
      <c r="K22" s="31" t="s">
        <v>188</v>
      </c>
      <c r="L22" s="154"/>
      <c r="N22" s="79"/>
      <c r="O22" s="79"/>
    </row>
    <row r="23" spans="1:15" ht="15" customHeight="1">
      <c r="B23" s="187"/>
      <c r="C23" s="188"/>
      <c r="D23" s="308" t="s">
        <v>90</v>
      </c>
      <c r="E23" s="190">
        <v>259680.48</v>
      </c>
      <c r="F23" s="153"/>
      <c r="G23" s="44">
        <v>6805.7</v>
      </c>
      <c r="H23" s="29" t="s">
        <v>18</v>
      </c>
      <c r="I23" s="30"/>
      <c r="J23" s="25"/>
      <c r="K23" s="31"/>
      <c r="L23" s="154"/>
      <c r="N23" s="79"/>
      <c r="O23" s="79"/>
    </row>
    <row r="24" spans="1:15" ht="15" thickBot="1">
      <c r="B24" s="202" t="s">
        <v>17</v>
      </c>
      <c r="C24" s="203"/>
      <c r="D24" s="204"/>
      <c r="E24" s="234">
        <v>29325.86</v>
      </c>
      <c r="G24" s="51"/>
      <c r="H24" s="34"/>
      <c r="I24" s="30"/>
      <c r="J24" s="210"/>
      <c r="K24" s="53"/>
      <c r="L24" s="154"/>
      <c r="M24" s="311"/>
      <c r="N24" s="79"/>
      <c r="O24" s="79"/>
    </row>
    <row r="25" spans="1:15" ht="15" thickBot="1">
      <c r="B25" s="202" t="s">
        <v>163</v>
      </c>
      <c r="C25" s="203"/>
      <c r="D25" s="204"/>
      <c r="E25" s="234">
        <v>0</v>
      </c>
      <c r="F25" s="153">
        <f>+F19</f>
        <v>1008394.9099999999</v>
      </c>
      <c r="G25" s="331" t="s">
        <v>21</v>
      </c>
      <c r="H25" s="332"/>
      <c r="I25" s="332"/>
      <c r="J25" s="332"/>
      <c r="K25" s="333"/>
      <c r="L25" s="8"/>
      <c r="N25" s="79"/>
      <c r="O25" s="79"/>
    </row>
    <row r="26" spans="1:15">
      <c r="B26" s="199" t="s">
        <v>22</v>
      </c>
      <c r="C26" s="200"/>
      <c r="D26" s="201"/>
      <c r="E26" s="234">
        <v>810</v>
      </c>
      <c r="F26" s="288">
        <f>SUM(E24:E30)</f>
        <v>99399.86</v>
      </c>
      <c r="G26" s="54"/>
      <c r="H26" s="55"/>
      <c r="I26" s="56"/>
      <c r="J26" s="211"/>
      <c r="K26" s="58"/>
      <c r="N26" s="79"/>
      <c r="O26" s="79"/>
    </row>
    <row r="27" spans="1:15">
      <c r="B27" s="199" t="s">
        <v>81</v>
      </c>
      <c r="C27" s="200"/>
      <c r="D27" s="201"/>
      <c r="E27" s="234">
        <v>69264</v>
      </c>
      <c r="F27" s="153">
        <f>+F25-F26</f>
        <v>908995.04999999993</v>
      </c>
      <c r="G27" s="377" t="s">
        <v>5</v>
      </c>
      <c r="H27" s="378"/>
      <c r="I27" s="59"/>
      <c r="J27" s="60"/>
      <c r="K27" s="45"/>
      <c r="N27" s="79"/>
      <c r="O27" s="79"/>
    </row>
    <row r="28" spans="1:15">
      <c r="B28" s="199" t="s">
        <v>24</v>
      </c>
      <c r="C28" s="200"/>
      <c r="D28" s="201"/>
      <c r="E28" s="49">
        <v>0</v>
      </c>
      <c r="F28" s="221"/>
      <c r="G28" s="22">
        <v>4220.28</v>
      </c>
      <c r="H28" s="62" t="s">
        <v>9</v>
      </c>
      <c r="I28" s="59"/>
      <c r="J28" s="60"/>
      <c r="K28" s="45"/>
      <c r="N28" s="155"/>
    </row>
    <row r="29" spans="1:15">
      <c r="B29" s="344" t="s">
        <v>69</v>
      </c>
      <c r="C29" s="345"/>
      <c r="D29" s="346"/>
      <c r="E29" s="234">
        <v>0</v>
      </c>
      <c r="G29" s="22">
        <v>1714.33</v>
      </c>
      <c r="H29" s="62" t="s">
        <v>26</v>
      </c>
      <c r="I29" s="63"/>
      <c r="J29" s="64"/>
      <c r="K29" s="65"/>
    </row>
    <row r="30" spans="1:15" ht="15" thickBot="1">
      <c r="B30" s="363" t="s">
        <v>29</v>
      </c>
      <c r="C30" s="364"/>
      <c r="D30" s="365"/>
      <c r="E30" s="66">
        <v>0</v>
      </c>
      <c r="G30" s="67">
        <v>1922.74</v>
      </c>
      <c r="H30" s="68" t="s">
        <v>14</v>
      </c>
      <c r="I30" s="63"/>
      <c r="J30" s="64"/>
      <c r="K30" s="65"/>
      <c r="N30" s="155"/>
    </row>
    <row r="31" spans="1:15" ht="15" thickBot="1">
      <c r="E31" s="61"/>
      <c r="F31" s="219"/>
      <c r="G31" s="71">
        <v>7347.63</v>
      </c>
      <c r="H31" s="72" t="s">
        <v>12</v>
      </c>
      <c r="I31" s="73"/>
      <c r="J31" s="74"/>
      <c r="K31" s="75"/>
    </row>
    <row r="32" spans="1:15">
      <c r="E32" s="61"/>
      <c r="F32" s="219"/>
      <c r="N32" s="155"/>
    </row>
    <row r="33" spans="1:14">
      <c r="E33" s="61"/>
      <c r="F33" s="219"/>
    </row>
    <row r="34" spans="1:14">
      <c r="D34" s="8"/>
      <c r="E34" s="61"/>
      <c r="F34" s="219"/>
      <c r="H34" s="61"/>
      <c r="I34" s="61"/>
      <c r="J34" s="39"/>
      <c r="K34" s="61"/>
      <c r="N34" s="155"/>
    </row>
    <row r="35" spans="1:14">
      <c r="B35" s="61"/>
      <c r="C35" s="61"/>
      <c r="D35" s="8"/>
      <c r="E35" s="110" t="s">
        <v>420</v>
      </c>
      <c r="F35" s="299"/>
      <c r="G35" s="8"/>
      <c r="H35" s="61"/>
      <c r="I35" s="61"/>
      <c r="J35" s="39"/>
      <c r="K35" s="61"/>
    </row>
    <row r="36" spans="1:14">
      <c r="A36" s="61"/>
      <c r="B36" s="61"/>
      <c r="C36" s="61"/>
      <c r="D36" s="8"/>
      <c r="E36" s="110"/>
      <c r="F36" s="299"/>
      <c r="G36" s="8"/>
      <c r="H36" s="13"/>
      <c r="I36" s="61"/>
      <c r="J36" s="13"/>
      <c r="K36" s="83"/>
      <c r="N36" s="155"/>
    </row>
    <row r="37" spans="1:14">
      <c r="A37" s="61"/>
      <c r="B37" s="61"/>
      <c r="C37" s="61"/>
      <c r="D37" s="8"/>
      <c r="E37" s="82" t="s">
        <v>34</v>
      </c>
      <c r="F37" s="299">
        <f>F19</f>
        <v>1008394.9099999999</v>
      </c>
      <c r="G37" s="181"/>
      <c r="H37" s="161"/>
      <c r="I37" s="197"/>
      <c r="J37" s="13"/>
      <c r="K37" s="83"/>
    </row>
    <row r="38" spans="1:14" s="61" customFormat="1" ht="15" customHeight="1">
      <c r="D38" s="8"/>
      <c r="E38" s="82" t="s">
        <v>35</v>
      </c>
      <c r="F38" s="299">
        <f>+E19</f>
        <v>15204.98</v>
      </c>
      <c r="G38" s="86"/>
      <c r="I38" s="197"/>
      <c r="J38" s="13"/>
      <c r="K38" s="83"/>
      <c r="L38" s="88"/>
      <c r="N38" s="273"/>
    </row>
    <row r="39" spans="1:14" s="61" customFormat="1" ht="15" customHeight="1">
      <c r="D39" s="8"/>
      <c r="E39" s="82" t="s">
        <v>36</v>
      </c>
      <c r="F39" s="299">
        <v>0</v>
      </c>
      <c r="G39" s="86"/>
      <c r="H39" s="161"/>
      <c r="I39" s="197"/>
      <c r="J39" s="13"/>
      <c r="K39" s="85"/>
      <c r="L39" s="161"/>
    </row>
    <row r="40" spans="1:14" s="61" customFormat="1" ht="15" customHeight="1">
      <c r="D40" s="8"/>
      <c r="E40" s="82" t="s">
        <v>37</v>
      </c>
      <c r="F40" s="299">
        <v>0</v>
      </c>
      <c r="G40" s="86"/>
      <c r="I40" s="214"/>
      <c r="J40" s="13"/>
      <c r="K40" s="87"/>
      <c r="L40" s="161"/>
      <c r="N40" s="273"/>
    </row>
    <row r="41" spans="1:14" s="61" customFormat="1" ht="15" customHeight="1">
      <c r="D41" s="8"/>
      <c r="E41" s="112" t="s">
        <v>38</v>
      </c>
      <c r="F41" s="225">
        <f>SUM(F37:F40)</f>
        <v>1023599.8899999999</v>
      </c>
      <c r="G41" s="9"/>
      <c r="I41" s="197"/>
      <c r="J41" s="13"/>
    </row>
    <row r="42" spans="1:14" s="61" customFormat="1" ht="15" customHeight="1">
      <c r="D42" s="8"/>
      <c r="E42" s="113"/>
      <c r="F42" s="226"/>
      <c r="G42" s="9"/>
      <c r="I42" s="197"/>
      <c r="J42" s="13"/>
      <c r="N42" s="273"/>
    </row>
    <row r="43" spans="1:14" s="61" customFormat="1" ht="15" customHeight="1">
      <c r="D43" s="8"/>
      <c r="E43" s="113" t="s">
        <v>180</v>
      </c>
      <c r="F43" s="226">
        <v>0</v>
      </c>
      <c r="G43" s="9"/>
      <c r="H43" s="163"/>
      <c r="I43" s="229"/>
      <c r="J43" s="13"/>
    </row>
    <row r="44" spans="1:14" s="61" customFormat="1" ht="15" customHeight="1">
      <c r="D44" s="8"/>
      <c r="E44" s="113" t="s">
        <v>152</v>
      </c>
      <c r="F44" s="226">
        <v>320000</v>
      </c>
      <c r="G44" s="9"/>
      <c r="H44" s="165"/>
      <c r="I44" s="230"/>
      <c r="J44" s="13"/>
      <c r="N44" s="273"/>
    </row>
    <row r="45" spans="1:14" s="61" customFormat="1" ht="15" customHeight="1">
      <c r="D45" s="8"/>
      <c r="E45" s="113" t="s">
        <v>189</v>
      </c>
      <c r="F45" s="226">
        <v>0</v>
      </c>
      <c r="G45" s="226">
        <v>1350000</v>
      </c>
      <c r="H45" s="165"/>
      <c r="I45" s="230"/>
      <c r="J45" s="13"/>
      <c r="N45" s="273"/>
    </row>
    <row r="46" spans="1:14" s="61" customFormat="1" ht="15" customHeight="1">
      <c r="D46" s="8"/>
      <c r="E46" s="113" t="s">
        <v>419</v>
      </c>
      <c r="F46" s="226">
        <v>0</v>
      </c>
      <c r="G46" s="226">
        <v>100000</v>
      </c>
      <c r="H46" s="165"/>
      <c r="I46" s="230"/>
      <c r="J46" s="13"/>
      <c r="N46" s="273"/>
    </row>
    <row r="47" spans="1:14" s="61" customFormat="1" ht="15" customHeight="1">
      <c r="D47" s="8"/>
      <c r="E47" s="113" t="s">
        <v>81</v>
      </c>
      <c r="F47" s="226">
        <v>70000</v>
      </c>
      <c r="G47" s="9"/>
      <c r="H47" s="165"/>
      <c r="I47" s="230"/>
      <c r="J47" s="13"/>
      <c r="N47" s="273"/>
    </row>
    <row r="48" spans="1:14" s="61" customFormat="1" ht="15" customHeight="1">
      <c r="D48" s="8"/>
      <c r="E48" s="113" t="s">
        <v>69</v>
      </c>
      <c r="F48" s="226">
        <f>11216+13459+11216</f>
        <v>35891</v>
      </c>
      <c r="G48" s="9"/>
      <c r="H48" s="165"/>
      <c r="I48" s="230"/>
      <c r="J48" s="13"/>
      <c r="N48" s="273"/>
    </row>
    <row r="49" spans="1:14" s="61" customFormat="1" ht="15" customHeight="1">
      <c r="D49" s="8"/>
      <c r="E49" s="116" t="s">
        <v>24</v>
      </c>
      <c r="F49" s="221">
        <f>15000+65000+100000+18000+230000</f>
        <v>428000</v>
      </c>
      <c r="G49" s="9"/>
      <c r="H49" s="165"/>
      <c r="I49" s="230"/>
      <c r="J49" s="13"/>
      <c r="N49" s="273"/>
    </row>
    <row r="50" spans="1:14" s="61" customFormat="1" ht="15" customHeight="1">
      <c r="D50" s="8"/>
      <c r="E50" s="116" t="s">
        <v>22</v>
      </c>
      <c r="F50" s="221">
        <v>50000</v>
      </c>
      <c r="G50" s="9"/>
      <c r="H50" s="165"/>
      <c r="I50" s="230"/>
      <c r="J50" s="13"/>
      <c r="N50" s="273"/>
    </row>
    <row r="51" spans="1:14" s="61" customFormat="1" ht="15" customHeight="1">
      <c r="D51" s="8"/>
      <c r="E51" s="116" t="s">
        <v>40</v>
      </c>
      <c r="F51" s="226">
        <v>80000</v>
      </c>
      <c r="G51" s="8"/>
      <c r="H51" s="91"/>
      <c r="I51" s="231"/>
      <c r="J51" s="13"/>
    </row>
    <row r="52" spans="1:14" s="61" customFormat="1" ht="15" customHeight="1">
      <c r="D52" s="8"/>
      <c r="E52" s="118" t="s">
        <v>41</v>
      </c>
      <c r="F52" s="225">
        <f>SUM(F43:F51)</f>
        <v>983891</v>
      </c>
      <c r="G52" s="8"/>
      <c r="H52" s="96"/>
      <c r="I52" s="231"/>
      <c r="J52" s="262"/>
    </row>
    <row r="53" spans="1:14" s="61" customFormat="1">
      <c r="D53" s="8"/>
      <c r="E53" s="118" t="s">
        <v>42</v>
      </c>
      <c r="F53" s="225">
        <f>F41-F52</f>
        <v>39708.889999999898</v>
      </c>
      <c r="G53" s="82"/>
      <c r="H53" s="83"/>
      <c r="I53" s="228"/>
      <c r="J53" s="13"/>
    </row>
    <row r="54" spans="1:14" s="61" customFormat="1">
      <c r="D54" s="8"/>
      <c r="E54" s="82"/>
      <c r="F54" s="80"/>
      <c r="G54" s="82"/>
      <c r="H54" s="83"/>
      <c r="I54" s="233"/>
      <c r="J54" s="13"/>
    </row>
    <row r="55" spans="1:14" s="61" customFormat="1">
      <c r="D55" s="8"/>
      <c r="E55" s="82" t="s">
        <v>43</v>
      </c>
      <c r="F55" s="80">
        <v>45000</v>
      </c>
      <c r="G55" s="82"/>
      <c r="H55" s="83"/>
      <c r="I55" s="233"/>
      <c r="J55" s="13"/>
    </row>
    <row r="56" spans="1:14" s="61" customFormat="1">
      <c r="D56" s="8"/>
      <c r="E56" s="82" t="s">
        <v>44</v>
      </c>
      <c r="F56" s="80">
        <f>170000-60000-15000+390000-300000</f>
        <v>185000</v>
      </c>
      <c r="G56" s="82"/>
      <c r="H56" s="83"/>
      <c r="I56" s="233"/>
      <c r="J56" s="13"/>
      <c r="L56" s="91"/>
    </row>
    <row r="57" spans="1:14" s="61" customFormat="1">
      <c r="D57" s="8"/>
      <c r="E57" s="82" t="s">
        <v>386</v>
      </c>
      <c r="F57" s="80">
        <v>3866.8</v>
      </c>
      <c r="G57" s="82"/>
      <c r="H57" s="96"/>
      <c r="I57" s="228"/>
      <c r="J57" s="13"/>
      <c r="L57" s="91"/>
    </row>
    <row r="58" spans="1:14" s="61" customFormat="1">
      <c r="D58" s="8"/>
      <c r="E58" s="82" t="s">
        <v>45</v>
      </c>
      <c r="F58" s="117">
        <v>1163364.29</v>
      </c>
      <c r="G58" s="82"/>
      <c r="H58" s="96"/>
      <c r="I58" s="228"/>
      <c r="J58" s="13"/>
      <c r="L58" s="91"/>
    </row>
    <row r="59" spans="1:14" s="61" customFormat="1">
      <c r="D59" s="8"/>
      <c r="E59" s="82" t="s">
        <v>205</v>
      </c>
      <c r="F59" s="117">
        <v>0</v>
      </c>
      <c r="G59" s="82"/>
      <c r="H59" s="83"/>
      <c r="I59" s="233"/>
      <c r="J59" s="13"/>
      <c r="L59" s="96"/>
    </row>
    <row r="60" spans="1:14" s="61" customFormat="1">
      <c r="B60"/>
      <c r="C60"/>
      <c r="D60" s="8"/>
      <c r="E60" s="82" t="s">
        <v>206</v>
      </c>
      <c r="F60" s="117">
        <v>1530000</v>
      </c>
      <c r="H60" s="96"/>
      <c r="I60" s="219"/>
      <c r="J60" s="13"/>
      <c r="L60" s="96"/>
    </row>
    <row r="61" spans="1:14" s="61" customFormat="1">
      <c r="A61"/>
      <c r="B61"/>
      <c r="C61"/>
      <c r="D61" s="8"/>
      <c r="E61" s="118" t="s">
        <v>46</v>
      </c>
      <c r="F61" s="120">
        <f>SUM(F55:F60)</f>
        <v>2927231.09</v>
      </c>
      <c r="J61" s="13"/>
    </row>
    <row r="62" spans="1:14" s="61" customFormat="1">
      <c r="A62"/>
      <c r="B62"/>
      <c r="C62"/>
      <c r="D62" s="8"/>
      <c r="E62" s="82"/>
      <c r="F62" s="80"/>
      <c r="J62" s="13"/>
      <c r="L62" s="83"/>
    </row>
    <row r="63" spans="1:14">
      <c r="D63" s="8"/>
      <c r="E63" s="118" t="s">
        <v>47</v>
      </c>
      <c r="F63" s="120">
        <f>+F53-F61</f>
        <v>-2887522.2</v>
      </c>
      <c r="G63" s="61"/>
      <c r="H63" s="79"/>
    </row>
    <row r="64" spans="1:14">
      <c r="D64" s="8"/>
      <c r="E64" s="61"/>
      <c r="F64" s="219"/>
      <c r="G64" s="61"/>
      <c r="H64" s="79"/>
    </row>
    <row r="65" spans="1:8">
      <c r="D65" s="8"/>
      <c r="E65" s="61"/>
      <c r="F65" s="219"/>
      <c r="G65" s="61"/>
      <c r="H65" s="79"/>
    </row>
    <row r="66" spans="1:8">
      <c r="D66" s="247" t="s">
        <v>192</v>
      </c>
      <c r="E66" s="61"/>
      <c r="F66" s="219"/>
      <c r="G66" s="79"/>
      <c r="H66" s="79"/>
    </row>
    <row r="67" spans="1:8">
      <c r="D67" s="247" t="s">
        <v>194</v>
      </c>
      <c r="E67" s="61"/>
      <c r="F67" s="219"/>
      <c r="G67" s="79"/>
      <c r="H67" s="79"/>
    </row>
    <row r="68" spans="1:8">
      <c r="D68" s="8" t="s">
        <v>9</v>
      </c>
      <c r="E68" s="243"/>
      <c r="F68" s="243"/>
      <c r="G68" s="127">
        <f>SUM(E74:F74)</f>
        <v>0</v>
      </c>
      <c r="H68" s="79"/>
    </row>
    <row r="69" spans="1:8">
      <c r="D69" s="8" t="s">
        <v>195</v>
      </c>
      <c r="E69" s="243"/>
      <c r="F69" s="244"/>
      <c r="G69" s="79"/>
      <c r="H69" s="79"/>
    </row>
    <row r="70" spans="1:8">
      <c r="D70" s="8" t="s">
        <v>188</v>
      </c>
      <c r="E70" s="245"/>
      <c r="F70" s="246"/>
      <c r="G70" s="79"/>
      <c r="H70" s="79"/>
    </row>
    <row r="71" spans="1:8">
      <c r="D71" s="8"/>
      <c r="E71" s="245"/>
      <c r="F71" s="246"/>
      <c r="G71" s="79"/>
      <c r="H71" s="79"/>
    </row>
    <row r="72" spans="1:8">
      <c r="D72" s="8"/>
      <c r="E72" s="276"/>
      <c r="F72" s="287"/>
      <c r="G72" s="79"/>
      <c r="H72" s="79"/>
    </row>
    <row r="73" spans="1:8">
      <c r="D73" s="8"/>
      <c r="E73" s="124"/>
      <c r="F73" s="250"/>
      <c r="G73" s="79"/>
      <c r="H73" s="79"/>
    </row>
    <row r="74" spans="1:8">
      <c r="D74" s="8"/>
      <c r="E74" s="8"/>
      <c r="G74" s="79"/>
      <c r="H74" s="79"/>
    </row>
    <row r="75" spans="1:8">
      <c r="D75" s="8"/>
      <c r="E75" s="8"/>
      <c r="G75" s="79"/>
      <c r="H75" s="79"/>
    </row>
    <row r="76" spans="1:8">
      <c r="A76" s="268"/>
      <c r="D76" s="8"/>
      <c r="E76" s="8"/>
    </row>
    <row r="77" spans="1:8">
      <c r="E77" s="8"/>
    </row>
    <row r="78" spans="1:8">
      <c r="B78" s="235"/>
      <c r="E78" s="8"/>
    </row>
    <row r="79" spans="1:8">
      <c r="E79" s="8"/>
    </row>
    <row r="80" spans="1:8">
      <c r="E80" s="293"/>
    </row>
    <row r="81" spans="1:5">
      <c r="C81" s="155"/>
      <c r="E81" s="8"/>
    </row>
    <row r="82" spans="1:5">
      <c r="A82" s="269"/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93"/>
    </row>
    <row r="111" spans="1:5">
      <c r="C111" s="155"/>
      <c r="E111" s="8"/>
    </row>
    <row r="112" spans="1:5">
      <c r="A112" s="269"/>
      <c r="E112" s="293"/>
    </row>
    <row r="113" spans="1:5">
      <c r="C113" s="155"/>
      <c r="E113" s="8"/>
    </row>
    <row r="114" spans="1:5">
      <c r="A114" s="269"/>
      <c r="E114" s="293"/>
    </row>
    <row r="115" spans="1:5">
      <c r="C115" s="155"/>
      <c r="E115" s="8"/>
    </row>
    <row r="116" spans="1:5">
      <c r="A116" s="269"/>
      <c r="E116" s="293"/>
    </row>
    <row r="117" spans="1:5">
      <c r="C117" s="155"/>
      <c r="E117" s="8"/>
    </row>
    <row r="118" spans="1:5">
      <c r="A118" s="269"/>
      <c r="E118" s="293"/>
    </row>
    <row r="119" spans="1:5">
      <c r="C119" s="155"/>
      <c r="E119" s="8"/>
    </row>
    <row r="120" spans="1:5">
      <c r="A120" s="269"/>
      <c r="E120" s="293"/>
    </row>
    <row r="121" spans="1:5">
      <c r="C121" s="155"/>
      <c r="E121" s="8"/>
    </row>
    <row r="122" spans="1:5">
      <c r="A122" s="269"/>
      <c r="E122" s="293"/>
    </row>
    <row r="123" spans="1:5">
      <c r="C123" s="155"/>
      <c r="E123" s="8"/>
    </row>
    <row r="124" spans="1:5">
      <c r="A124" s="269"/>
      <c r="E124" s="293"/>
    </row>
    <row r="125" spans="1:5">
      <c r="C125" s="155"/>
      <c r="E125" s="8"/>
    </row>
    <row r="126" spans="1:5">
      <c r="A126" s="269"/>
      <c r="E126" s="293"/>
    </row>
    <row r="127" spans="1:5">
      <c r="C127" s="155"/>
      <c r="E127" s="8"/>
    </row>
    <row r="128" spans="1:5">
      <c r="A128" s="269"/>
      <c r="E128" s="293"/>
    </row>
    <row r="129" spans="1:5">
      <c r="C129" s="155"/>
      <c r="E129" s="8"/>
    </row>
    <row r="130" spans="1:5">
      <c r="A130" s="269"/>
      <c r="E130" s="293"/>
    </row>
    <row r="131" spans="1:5">
      <c r="C131" s="155"/>
      <c r="E131" s="8"/>
    </row>
    <row r="132" spans="1:5">
      <c r="A132" s="269"/>
      <c r="E132" s="293"/>
    </row>
    <row r="133" spans="1:5">
      <c r="C133" s="155"/>
      <c r="E133" s="8"/>
    </row>
    <row r="134" spans="1:5">
      <c r="A134" s="269"/>
      <c r="E134" s="293"/>
    </row>
    <row r="135" spans="1:5">
      <c r="C135" s="155"/>
      <c r="E135" s="8"/>
    </row>
    <row r="136" spans="1:5">
      <c r="A136" s="269"/>
      <c r="E136" s="293"/>
    </row>
    <row r="137" spans="1:5">
      <c r="C137" s="155"/>
      <c r="E137" s="8"/>
    </row>
    <row r="138" spans="1:5">
      <c r="A138" s="269"/>
      <c r="E138" s="293"/>
    </row>
    <row r="139" spans="1:5">
      <c r="C139" s="155"/>
      <c r="E139" s="8"/>
    </row>
    <row r="140" spans="1:5">
      <c r="A140" s="269"/>
      <c r="E140" s="293"/>
    </row>
    <row r="141" spans="1:5">
      <c r="C141" s="155"/>
      <c r="E141" s="8"/>
    </row>
    <row r="142" spans="1:5">
      <c r="A142" s="269"/>
      <c r="E142" s="155"/>
    </row>
    <row r="143" spans="1:5">
      <c r="C143" s="155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C199" s="155"/>
    </row>
    <row r="200" spans="1:5">
      <c r="A200" s="269"/>
      <c r="E200" s="155"/>
    </row>
    <row r="201" spans="1:5">
      <c r="D201" s="155"/>
    </row>
    <row r="202" spans="1:5">
      <c r="A202" s="269"/>
      <c r="E202" s="155"/>
    </row>
    <row r="203" spans="1:5">
      <c r="C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5">
      <c r="C209" s="155"/>
    </row>
    <row r="210" spans="1:5">
      <c r="A210" s="269"/>
      <c r="E210" s="155"/>
    </row>
    <row r="211" spans="1:5">
      <c r="C211" s="155"/>
    </row>
    <row r="212" spans="1:5">
      <c r="A212" s="269"/>
    </row>
  </sheetData>
  <mergeCells count="16">
    <mergeCell ref="G27:H27"/>
    <mergeCell ref="B29:D29"/>
    <mergeCell ref="B30:D30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485FA-043B-44E0-9548-F03CD6C89F21}">
  <dimension ref="A6:O214"/>
  <sheetViews>
    <sheetView showGridLines="0" topLeftCell="A8" workbookViewId="0">
      <selection activeCell="A8" sqref="A1:XFD1048576"/>
    </sheetView>
  </sheetViews>
  <sheetFormatPr baseColWidth="10" defaultRowHeight="14.5"/>
  <cols>
    <col min="2" max="2" width="16.54296875" customWidth="1"/>
    <col min="4" max="4" width="22" customWidth="1"/>
    <col min="5" max="5" width="29.26953125" bestFit="1" customWidth="1"/>
    <col min="6" max="6" width="18.81640625" style="220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style="61" bestFit="1" customWidth="1"/>
    <col min="13" max="13" width="14" style="8" customWidth="1"/>
  </cols>
  <sheetData>
    <row r="6" spans="1:15" s="8" customFormat="1" ht="18">
      <c r="A6" s="5" t="s">
        <v>20</v>
      </c>
      <c r="B6" s="5"/>
      <c r="C6" s="5"/>
      <c r="D6" s="5"/>
      <c r="E6" s="6" t="s">
        <v>0</v>
      </c>
      <c r="F6" s="322"/>
      <c r="G6" s="5"/>
      <c r="H6" s="5"/>
      <c r="I6" s="5"/>
      <c r="J6" s="209"/>
      <c r="K6" s="5"/>
      <c r="L6" s="61"/>
    </row>
    <row r="7" spans="1:15">
      <c r="A7" s="1"/>
      <c r="B7" s="1"/>
      <c r="C7" s="1"/>
      <c r="D7" s="1"/>
      <c r="E7" s="1"/>
      <c r="F7" s="153"/>
      <c r="G7" s="1"/>
      <c r="H7" s="1"/>
      <c r="I7" s="1"/>
      <c r="J7" s="76"/>
      <c r="K7" s="1"/>
      <c r="L7" s="61" t="s">
        <v>20</v>
      </c>
    </row>
    <row r="8" spans="1:15">
      <c r="A8" s="1"/>
      <c r="B8" s="1"/>
      <c r="C8" s="1"/>
      <c r="D8" s="1"/>
      <c r="E8" s="1"/>
      <c r="F8" s="153"/>
      <c r="G8" s="1"/>
      <c r="H8" s="1"/>
      <c r="I8" s="4"/>
      <c r="J8" s="76"/>
      <c r="K8" s="76"/>
    </row>
    <row r="9" spans="1:15">
      <c r="A9" s="1"/>
      <c r="B9" s="1"/>
      <c r="C9" s="1"/>
      <c r="D9" s="1"/>
      <c r="E9" s="1"/>
      <c r="F9" s="153" t="s">
        <v>358</v>
      </c>
      <c r="G9" s="1"/>
      <c r="H9" s="1"/>
      <c r="I9" s="4"/>
      <c r="J9" s="76"/>
      <c r="K9" s="1"/>
    </row>
    <row r="10" spans="1:15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5" ht="19" thickBot="1">
      <c r="A11" s="1"/>
      <c r="B11" s="1"/>
      <c r="C11" s="1"/>
      <c r="D11" s="1"/>
      <c r="E11" s="295"/>
      <c r="F11" s="309"/>
      <c r="G11" s="296"/>
      <c r="H11" s="1"/>
      <c r="I11" s="1"/>
      <c r="J11" s="76"/>
      <c r="K11" s="1"/>
    </row>
    <row r="12" spans="1:15" ht="19" thickBot="1">
      <c r="A12" s="1"/>
      <c r="B12" s="331" t="s">
        <v>2</v>
      </c>
      <c r="C12" s="332"/>
      <c r="D12" s="332"/>
      <c r="E12" s="333"/>
      <c r="F12" s="309"/>
      <c r="G12" s="296"/>
      <c r="H12" s="1"/>
      <c r="I12" s="1"/>
      <c r="J12" s="76"/>
      <c r="K12" s="1"/>
    </row>
    <row r="13" spans="1:15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M13" s="8" t="s">
        <v>20</v>
      </c>
    </row>
    <row r="14" spans="1:15" ht="18" thickBot="1">
      <c r="A14" s="11"/>
      <c r="B14" s="334" t="s">
        <v>3</v>
      </c>
      <c r="C14" s="335"/>
      <c r="D14" s="336"/>
      <c r="E14" s="17">
        <f>SUM(E15:E17)</f>
        <v>1116387.3800000001</v>
      </c>
      <c r="F14" s="264"/>
      <c r="G14" s="331" t="s">
        <v>4</v>
      </c>
      <c r="H14" s="332"/>
      <c r="I14" s="332"/>
      <c r="J14" s="332"/>
      <c r="K14" s="333"/>
      <c r="L14" s="13"/>
      <c r="N14" s="79"/>
      <c r="O14" s="79"/>
    </row>
    <row r="15" spans="1:15">
      <c r="A15" s="1"/>
      <c r="B15" s="337" t="s">
        <v>5</v>
      </c>
      <c r="C15" s="338"/>
      <c r="D15" s="339"/>
      <c r="E15" s="20">
        <f>J16+J17+J18+J19</f>
        <v>1061490.07</v>
      </c>
      <c r="F15" s="153"/>
      <c r="G15" s="340" t="s">
        <v>6</v>
      </c>
      <c r="H15" s="341"/>
      <c r="I15" s="21"/>
      <c r="J15" s="342" t="s">
        <v>5</v>
      </c>
      <c r="K15" s="343"/>
      <c r="L15" s="13"/>
      <c r="N15" s="79"/>
      <c r="O15" s="79"/>
    </row>
    <row r="16" spans="1:15">
      <c r="A16" s="1"/>
      <c r="B16" s="349" t="s">
        <v>7</v>
      </c>
      <c r="C16" s="350"/>
      <c r="D16" s="351"/>
      <c r="E16" s="20">
        <f>G22+G23</f>
        <v>18284.740000000002</v>
      </c>
      <c r="F16" s="153"/>
      <c r="G16" s="22">
        <v>13475.22</v>
      </c>
      <c r="H16" s="23" t="s">
        <v>8</v>
      </c>
      <c r="I16" s="24"/>
      <c r="J16" s="25">
        <v>18408.740000000002</v>
      </c>
      <c r="K16" s="26" t="s">
        <v>9</v>
      </c>
      <c r="L16" s="19"/>
      <c r="N16" s="79"/>
      <c r="O16" s="79"/>
    </row>
    <row r="17" spans="1:15">
      <c r="A17" s="1"/>
      <c r="B17" s="352" t="s">
        <v>6</v>
      </c>
      <c r="C17" s="353"/>
      <c r="D17" s="354"/>
      <c r="E17" s="28">
        <f>G16+G17+G18</f>
        <v>36612.569999999992</v>
      </c>
      <c r="F17" s="153">
        <f>E15+E16+E17</f>
        <v>1116387.3800000001</v>
      </c>
      <c r="G17" s="22">
        <v>11348.23</v>
      </c>
      <c r="H17" s="29" t="s">
        <v>10</v>
      </c>
      <c r="I17" s="30"/>
      <c r="J17" s="25">
        <v>128432.29</v>
      </c>
      <c r="K17" s="31" t="s">
        <v>10</v>
      </c>
      <c r="L17" s="13"/>
      <c r="N17" s="79"/>
      <c r="O17" s="79"/>
    </row>
    <row r="18" spans="1:15">
      <c r="A18" s="1"/>
      <c r="B18" s="236" t="s">
        <v>187</v>
      </c>
      <c r="C18" s="237"/>
      <c r="D18" s="238"/>
      <c r="E18" s="28">
        <f>+J22</f>
        <v>15126.95</v>
      </c>
      <c r="F18" s="153">
        <v>90000</v>
      </c>
      <c r="G18" s="22">
        <f>216608.93-204819.81</f>
        <v>11789.119999999995</v>
      </c>
      <c r="H18" s="29" t="s">
        <v>12</v>
      </c>
      <c r="I18" s="30"/>
      <c r="J18" s="25">
        <v>754162.6</v>
      </c>
      <c r="K18" s="31" t="s">
        <v>12</v>
      </c>
      <c r="L18" s="9"/>
      <c r="N18" s="79"/>
      <c r="O18" s="79"/>
    </row>
    <row r="19" spans="1:15">
      <c r="B19" s="379" t="s">
        <v>11</v>
      </c>
      <c r="C19" s="380"/>
      <c r="D19" s="381"/>
      <c r="E19" s="20">
        <f>G29+G31+G30+G28</f>
        <v>15207.279999999999</v>
      </c>
      <c r="F19" s="153">
        <f>+F17-F18</f>
        <v>1026387.3800000001</v>
      </c>
      <c r="G19" s="33"/>
      <c r="H19" s="34"/>
      <c r="I19" s="30"/>
      <c r="J19" s="25">
        <v>160486.44</v>
      </c>
      <c r="K19" s="31" t="s">
        <v>14</v>
      </c>
      <c r="L19" s="8"/>
      <c r="N19" s="79"/>
      <c r="O19" s="79"/>
    </row>
    <row r="20" spans="1:15">
      <c r="B20" s="344" t="s">
        <v>13</v>
      </c>
      <c r="C20" s="345"/>
      <c r="D20" s="346"/>
      <c r="E20" s="20">
        <v>15393200.810000001</v>
      </c>
      <c r="F20" s="153"/>
      <c r="G20" s="239"/>
      <c r="H20" s="240"/>
      <c r="I20" s="30"/>
      <c r="J20" s="25"/>
      <c r="K20" s="31"/>
      <c r="L20" s="124"/>
      <c r="M20" s="8" t="s">
        <v>405</v>
      </c>
      <c r="N20" s="79"/>
      <c r="O20" s="79"/>
    </row>
    <row r="21" spans="1:15">
      <c r="B21" s="187" t="s">
        <v>15</v>
      </c>
      <c r="C21" s="188"/>
      <c r="D21" s="189"/>
      <c r="E21" s="190">
        <f>SUM(E22:E24)</f>
        <v>119392.33</v>
      </c>
      <c r="F21" s="153"/>
      <c r="G21" s="361" t="s">
        <v>16</v>
      </c>
      <c r="H21" s="362"/>
      <c r="I21" s="36"/>
      <c r="J21" s="241" t="s">
        <v>187</v>
      </c>
      <c r="K21" s="242"/>
      <c r="L21" s="154"/>
      <c r="N21" s="79"/>
      <c r="O21" s="79"/>
    </row>
    <row r="22" spans="1:15" ht="15" customHeight="1">
      <c r="B22" s="303"/>
      <c r="C22" s="304"/>
      <c r="D22" s="308" t="s">
        <v>382</v>
      </c>
      <c r="E22" s="190">
        <v>98164.33</v>
      </c>
      <c r="F22" s="153"/>
      <c r="G22" s="44">
        <v>8621.0400000000009</v>
      </c>
      <c r="H22" s="29" t="s">
        <v>10</v>
      </c>
      <c r="I22" s="30"/>
      <c r="J22" s="25">
        <f>15126.95</f>
        <v>15126.95</v>
      </c>
      <c r="K22" s="31" t="s">
        <v>188</v>
      </c>
      <c r="L22" s="154"/>
      <c r="N22" s="79"/>
      <c r="O22" s="79"/>
    </row>
    <row r="23" spans="1:15" ht="15" customHeight="1">
      <c r="B23" s="325"/>
      <c r="C23" s="326"/>
      <c r="D23" s="308" t="s">
        <v>421</v>
      </c>
      <c r="E23" s="190">
        <v>15428</v>
      </c>
      <c r="F23" s="153"/>
      <c r="G23" s="44">
        <v>9663.7000000000007</v>
      </c>
      <c r="H23" s="29" t="s">
        <v>18</v>
      </c>
      <c r="I23" s="30"/>
      <c r="J23" s="25"/>
      <c r="K23" s="31"/>
      <c r="L23" s="154"/>
      <c r="N23" s="79"/>
      <c r="O23" s="79"/>
    </row>
    <row r="24" spans="1:15" ht="15" thickBot="1">
      <c r="B24" s="187"/>
      <c r="C24" s="188"/>
      <c r="D24" s="308" t="s">
        <v>382</v>
      </c>
      <c r="E24" s="190">
        <v>5800</v>
      </c>
      <c r="F24" s="153"/>
      <c r="G24" s="51"/>
      <c r="H24" s="34"/>
      <c r="I24" s="30"/>
      <c r="J24" s="210"/>
      <c r="K24" s="53"/>
      <c r="L24" s="154"/>
      <c r="M24" s="323"/>
      <c r="N24" s="79"/>
      <c r="O24" s="79"/>
    </row>
    <row r="25" spans="1:15" ht="15" thickBot="1">
      <c r="B25" s="202" t="s">
        <v>17</v>
      </c>
      <c r="C25" s="203"/>
      <c r="D25" s="204"/>
      <c r="E25" s="234">
        <v>0</v>
      </c>
      <c r="G25" s="331" t="s">
        <v>21</v>
      </c>
      <c r="H25" s="332"/>
      <c r="I25" s="332"/>
      <c r="J25" s="332"/>
      <c r="K25" s="333"/>
      <c r="L25" s="8"/>
      <c r="N25" s="79"/>
      <c r="O25" s="79"/>
    </row>
    <row r="26" spans="1:15">
      <c r="B26" s="202" t="s">
        <v>163</v>
      </c>
      <c r="C26" s="203"/>
      <c r="D26" s="204"/>
      <c r="E26" s="234">
        <v>0</v>
      </c>
      <c r="F26" s="153">
        <f>+F19</f>
        <v>1026387.3800000001</v>
      </c>
      <c r="G26" s="54"/>
      <c r="H26" s="55"/>
      <c r="I26" s="56"/>
      <c r="J26" s="211"/>
      <c r="K26" s="58"/>
      <c r="N26" s="79"/>
      <c r="O26" s="79"/>
    </row>
    <row r="27" spans="1:15">
      <c r="B27" s="199" t="s">
        <v>22</v>
      </c>
      <c r="C27" s="200"/>
      <c r="D27" s="201"/>
      <c r="E27" s="234">
        <v>0</v>
      </c>
      <c r="F27" s="288">
        <f>SUM(E25:E31)</f>
        <v>346622.07</v>
      </c>
      <c r="G27" s="377" t="s">
        <v>5</v>
      </c>
      <c r="H27" s="378"/>
      <c r="I27" s="59"/>
      <c r="J27" s="60"/>
      <c r="K27" s="45"/>
      <c r="N27" s="79"/>
      <c r="O27" s="79"/>
    </row>
    <row r="28" spans="1:15">
      <c r="B28" s="199" t="s">
        <v>81</v>
      </c>
      <c r="C28" s="200"/>
      <c r="D28" s="201"/>
      <c r="E28" s="234">
        <v>0</v>
      </c>
      <c r="F28" s="153">
        <f>+F26-F27</f>
        <v>679765.31</v>
      </c>
      <c r="G28" s="22">
        <v>4220.28</v>
      </c>
      <c r="H28" s="62" t="s">
        <v>9</v>
      </c>
      <c r="I28" s="59"/>
      <c r="J28" s="60"/>
      <c r="K28" s="45"/>
      <c r="N28" s="155"/>
    </row>
    <row r="29" spans="1:15">
      <c r="B29" s="199" t="s">
        <v>24</v>
      </c>
      <c r="C29" s="200"/>
      <c r="D29" s="201"/>
      <c r="E29" s="49">
        <v>346622.07</v>
      </c>
      <c r="F29" s="221"/>
      <c r="G29" s="22">
        <v>1714.33</v>
      </c>
      <c r="H29" s="62" t="s">
        <v>26</v>
      </c>
      <c r="I29" s="63"/>
      <c r="J29" s="64"/>
      <c r="K29" s="65"/>
    </row>
    <row r="30" spans="1:15">
      <c r="B30" s="344" t="s">
        <v>69</v>
      </c>
      <c r="C30" s="345"/>
      <c r="D30" s="346"/>
      <c r="E30" s="234">
        <v>0</v>
      </c>
      <c r="G30" s="67">
        <v>1923.1</v>
      </c>
      <c r="H30" s="68" t="s">
        <v>14</v>
      </c>
      <c r="I30" s="63"/>
      <c r="J30" s="64"/>
      <c r="K30" s="65"/>
      <c r="N30" s="155"/>
    </row>
    <row r="31" spans="1:15" ht="15" thickBot="1">
      <c r="B31" s="363" t="s">
        <v>29</v>
      </c>
      <c r="C31" s="364"/>
      <c r="D31" s="365"/>
      <c r="E31" s="66">
        <v>0</v>
      </c>
      <c r="G31" s="71">
        <v>7349.57</v>
      </c>
      <c r="H31" s="72" t="s">
        <v>12</v>
      </c>
      <c r="I31" s="73"/>
      <c r="J31" s="74"/>
      <c r="K31" s="75"/>
    </row>
    <row r="32" spans="1:15">
      <c r="E32" s="61"/>
      <c r="F32" s="219"/>
      <c r="N32" s="155"/>
    </row>
    <row r="33" spans="1:14">
      <c r="E33" s="61"/>
      <c r="F33" s="219"/>
    </row>
    <row r="34" spans="1:14">
      <c r="E34" s="61"/>
      <c r="F34" s="219"/>
      <c r="H34" s="61"/>
      <c r="I34" s="61"/>
      <c r="J34" s="39"/>
      <c r="K34" s="61"/>
      <c r="N34" s="155"/>
    </row>
    <row r="35" spans="1:14">
      <c r="D35" s="8"/>
      <c r="E35" s="61"/>
      <c r="F35" s="219"/>
      <c r="G35" s="8"/>
      <c r="H35" s="61"/>
      <c r="I35" s="61"/>
      <c r="J35" s="39"/>
      <c r="K35" s="61"/>
    </row>
    <row r="36" spans="1:14">
      <c r="B36" s="61"/>
      <c r="C36" s="61"/>
      <c r="D36" s="8"/>
      <c r="E36" s="78" t="s">
        <v>420</v>
      </c>
      <c r="F36" s="297"/>
      <c r="G36" s="8"/>
      <c r="H36" s="13"/>
      <c r="I36" s="61"/>
      <c r="J36" s="13"/>
      <c r="K36" s="83"/>
      <c r="N36" s="155"/>
    </row>
    <row r="37" spans="1:14">
      <c r="A37" s="61"/>
      <c r="B37" s="61"/>
      <c r="C37" s="61"/>
      <c r="D37" s="8"/>
      <c r="E37" s="78"/>
      <c r="F37" s="297"/>
      <c r="G37" s="181"/>
      <c r="H37" s="161"/>
      <c r="I37" s="197"/>
      <c r="J37" s="13"/>
      <c r="K37" s="83"/>
    </row>
    <row r="38" spans="1:14" s="61" customFormat="1" ht="15" customHeight="1">
      <c r="D38" s="8"/>
      <c r="E38" s="83" t="s">
        <v>34</v>
      </c>
      <c r="F38" s="297">
        <f>F19</f>
        <v>1026387.3800000001</v>
      </c>
      <c r="G38" s="86"/>
      <c r="I38" s="197"/>
      <c r="J38" s="13"/>
      <c r="K38" s="83"/>
      <c r="L38" s="88"/>
      <c r="M38" s="8"/>
      <c r="N38" s="273"/>
    </row>
    <row r="39" spans="1:14" s="61" customFormat="1" ht="15" customHeight="1">
      <c r="D39" s="8"/>
      <c r="E39" s="83" t="s">
        <v>35</v>
      </c>
      <c r="F39" s="297">
        <f>+E19</f>
        <v>15207.279999999999</v>
      </c>
      <c r="G39" s="86"/>
      <c r="H39" s="161"/>
      <c r="I39" s="197"/>
      <c r="J39" s="13"/>
      <c r="K39" s="85"/>
      <c r="L39" s="161"/>
      <c r="M39" s="8"/>
    </row>
    <row r="40" spans="1:14" s="61" customFormat="1" ht="15" customHeight="1">
      <c r="D40" s="8"/>
      <c r="E40" s="83" t="s">
        <v>36</v>
      </c>
      <c r="F40" s="297">
        <v>0</v>
      </c>
      <c r="G40" s="86"/>
      <c r="I40" s="214"/>
      <c r="J40" s="13"/>
      <c r="K40" s="87"/>
      <c r="L40" s="161"/>
      <c r="M40" s="8"/>
      <c r="N40" s="273"/>
    </row>
    <row r="41" spans="1:14" s="61" customFormat="1" ht="15" customHeight="1">
      <c r="D41" s="8"/>
      <c r="E41" s="83" t="s">
        <v>37</v>
      </c>
      <c r="F41" s="297">
        <v>0</v>
      </c>
      <c r="G41" s="9"/>
      <c r="I41" s="197"/>
      <c r="J41" s="13"/>
      <c r="M41" s="8"/>
    </row>
    <row r="42" spans="1:14" s="61" customFormat="1" ht="15" customHeight="1">
      <c r="D42" s="8"/>
      <c r="E42" s="85" t="s">
        <v>38</v>
      </c>
      <c r="F42" s="231">
        <f>SUM(F38:F41)</f>
        <v>1041594.6600000001</v>
      </c>
      <c r="G42" s="9"/>
      <c r="I42" s="197"/>
      <c r="J42" s="13"/>
      <c r="M42" s="8"/>
      <c r="N42" s="273"/>
    </row>
    <row r="43" spans="1:14" s="61" customFormat="1" ht="15" customHeight="1">
      <c r="D43" s="8"/>
      <c r="E43" s="87"/>
      <c r="F43" s="232"/>
      <c r="G43" s="9"/>
      <c r="H43" s="163"/>
      <c r="I43" s="229"/>
      <c r="J43" s="13"/>
      <c r="M43" s="8"/>
    </row>
    <row r="44" spans="1:14" s="61" customFormat="1" ht="15" customHeight="1">
      <c r="D44" s="8"/>
      <c r="E44" s="87" t="s">
        <v>180</v>
      </c>
      <c r="F44" s="232">
        <v>0</v>
      </c>
      <c r="G44" s="9"/>
      <c r="H44" s="165"/>
      <c r="I44" s="230"/>
      <c r="J44" s="13"/>
      <c r="M44" s="8"/>
      <c r="N44" s="273"/>
    </row>
    <row r="45" spans="1:14" s="61" customFormat="1" ht="15" customHeight="1">
      <c r="D45" s="8"/>
      <c r="E45" s="87" t="s">
        <v>152</v>
      </c>
      <c r="F45" s="232">
        <v>320000</v>
      </c>
      <c r="G45" s="226"/>
      <c r="H45" s="165"/>
      <c r="I45" s="230"/>
      <c r="J45" s="13"/>
      <c r="M45" s="8"/>
      <c r="N45" s="273"/>
    </row>
    <row r="46" spans="1:14" s="61" customFormat="1" ht="15" customHeight="1">
      <c r="D46" s="8"/>
      <c r="E46" s="87" t="s">
        <v>189</v>
      </c>
      <c r="F46" s="232">
        <v>1350000</v>
      </c>
      <c r="G46" s="226"/>
      <c r="H46" s="165"/>
      <c r="I46" s="230"/>
      <c r="J46" s="13"/>
      <c r="M46" s="8"/>
      <c r="N46" s="273"/>
    </row>
    <row r="47" spans="1:14" s="61" customFormat="1" ht="15" customHeight="1">
      <c r="D47" s="8"/>
      <c r="E47" s="87" t="s">
        <v>419</v>
      </c>
      <c r="F47" s="232">
        <v>100000</v>
      </c>
      <c r="G47" s="9"/>
      <c r="H47" s="165"/>
      <c r="I47" s="230"/>
      <c r="J47" s="13"/>
      <c r="M47" s="8"/>
      <c r="N47" s="273"/>
    </row>
    <row r="48" spans="1:14" s="61" customFormat="1" ht="15" customHeight="1">
      <c r="D48" s="8"/>
      <c r="E48" s="87" t="s">
        <v>105</v>
      </c>
      <c r="F48" s="232">
        <v>65000</v>
      </c>
      <c r="G48" s="9"/>
      <c r="H48" s="165"/>
      <c r="I48" s="230"/>
      <c r="J48" s="13"/>
      <c r="M48" s="8"/>
      <c r="N48" s="273"/>
    </row>
    <row r="49" spans="1:14" s="61" customFormat="1" ht="15" customHeight="1">
      <c r="D49" s="8"/>
      <c r="E49" s="87" t="s">
        <v>81</v>
      </c>
      <c r="F49" s="232">
        <v>0</v>
      </c>
      <c r="G49" s="9"/>
      <c r="H49" s="165"/>
      <c r="I49" s="230"/>
      <c r="J49" s="13"/>
      <c r="M49" s="8"/>
      <c r="N49" s="273"/>
    </row>
    <row r="50" spans="1:14" s="61" customFormat="1" ht="15" customHeight="1">
      <c r="D50" s="8"/>
      <c r="E50" s="87" t="s">
        <v>69</v>
      </c>
      <c r="F50" s="232">
        <f>11216+13459+11216</f>
        <v>35891</v>
      </c>
      <c r="G50" s="9"/>
      <c r="H50" s="165"/>
      <c r="I50" s="230"/>
      <c r="J50" s="13"/>
      <c r="M50" s="8"/>
      <c r="N50" s="273"/>
    </row>
    <row r="51" spans="1:14" s="61" customFormat="1" ht="15" customHeight="1">
      <c r="D51" s="8"/>
      <c r="E51" s="91" t="s">
        <v>24</v>
      </c>
      <c r="F51" s="228">
        <v>346622.07</v>
      </c>
      <c r="G51" s="9"/>
      <c r="H51" s="165"/>
      <c r="I51" s="230"/>
      <c r="J51" s="13"/>
      <c r="M51" s="8"/>
      <c r="N51" s="273"/>
    </row>
    <row r="52" spans="1:14" s="61" customFormat="1" ht="15" customHeight="1">
      <c r="D52" s="8"/>
      <c r="E52" s="91" t="s">
        <v>22</v>
      </c>
      <c r="F52" s="228">
        <v>50000</v>
      </c>
      <c r="G52" s="8"/>
      <c r="H52" s="91"/>
      <c r="I52" s="231"/>
      <c r="J52" s="13"/>
      <c r="M52" s="8"/>
    </row>
    <row r="53" spans="1:14" s="61" customFormat="1" ht="15" customHeight="1">
      <c r="D53" s="8"/>
      <c r="E53" s="91" t="s">
        <v>40</v>
      </c>
      <c r="F53" s="232">
        <v>80000</v>
      </c>
      <c r="G53" s="8"/>
      <c r="H53" s="96"/>
      <c r="I53" s="231"/>
      <c r="J53" s="262"/>
      <c r="M53" s="8"/>
    </row>
    <row r="54" spans="1:14" s="61" customFormat="1">
      <c r="D54" s="8"/>
      <c r="E54" s="96" t="s">
        <v>41</v>
      </c>
      <c r="F54" s="231">
        <f>SUM(F44:F53)</f>
        <v>2347513.0699999998</v>
      </c>
      <c r="G54" s="82"/>
      <c r="H54" s="83"/>
      <c r="I54" s="228"/>
      <c r="J54" s="13"/>
      <c r="M54" s="8"/>
    </row>
    <row r="55" spans="1:14" s="61" customFormat="1">
      <c r="D55" s="8"/>
      <c r="E55" s="96" t="s">
        <v>42</v>
      </c>
      <c r="F55" s="231">
        <f>F42-F54</f>
        <v>-1305918.4099999997</v>
      </c>
      <c r="G55" s="82"/>
      <c r="H55" s="83"/>
      <c r="I55" s="233"/>
      <c r="J55" s="13"/>
      <c r="M55" s="8"/>
    </row>
    <row r="56" spans="1:14" s="61" customFormat="1">
      <c r="D56" s="8"/>
      <c r="E56" s="83"/>
      <c r="F56" s="151"/>
      <c r="G56" s="82"/>
      <c r="H56" s="83"/>
      <c r="I56" s="233"/>
      <c r="J56" s="13"/>
      <c r="M56" s="8"/>
    </row>
    <row r="57" spans="1:14" s="61" customFormat="1">
      <c r="D57" s="8"/>
      <c r="E57" s="83" t="s">
        <v>43</v>
      </c>
      <c r="F57" s="151">
        <v>45000</v>
      </c>
      <c r="G57" s="82"/>
      <c r="H57" s="83"/>
      <c r="I57" s="233"/>
      <c r="J57" s="13"/>
      <c r="L57" s="91"/>
      <c r="M57" s="8"/>
    </row>
    <row r="58" spans="1:14" s="61" customFormat="1">
      <c r="D58" s="8"/>
      <c r="E58" s="83" t="s">
        <v>44</v>
      </c>
      <c r="F58" s="151">
        <f>170000-60000-15000+390000-300000</f>
        <v>185000</v>
      </c>
      <c r="G58" s="82"/>
      <c r="H58" s="96"/>
      <c r="I58" s="228"/>
      <c r="J58" s="13"/>
      <c r="L58" s="91"/>
      <c r="M58" s="8"/>
    </row>
    <row r="59" spans="1:14" s="61" customFormat="1">
      <c r="D59" s="8"/>
      <c r="E59" s="83" t="s">
        <v>386</v>
      </c>
      <c r="F59" s="151">
        <v>3866.8</v>
      </c>
      <c r="G59" s="82"/>
      <c r="H59" s="96"/>
      <c r="I59" s="228"/>
      <c r="J59" s="13"/>
      <c r="L59" s="91"/>
      <c r="M59" s="8"/>
    </row>
    <row r="60" spans="1:14" s="61" customFormat="1">
      <c r="D60" s="8"/>
      <c r="E60" s="83" t="s">
        <v>45</v>
      </c>
      <c r="F60" s="95">
        <v>1163364.29</v>
      </c>
      <c r="G60" s="82"/>
      <c r="H60" s="83"/>
      <c r="I60" s="233"/>
      <c r="J60" s="13"/>
      <c r="L60" s="96"/>
      <c r="M60" s="8"/>
    </row>
    <row r="61" spans="1:14" s="61" customFormat="1">
      <c r="D61" s="8"/>
      <c r="E61" s="83" t="s">
        <v>205</v>
      </c>
      <c r="F61" s="95">
        <v>0</v>
      </c>
      <c r="H61" s="96"/>
      <c r="I61" s="219"/>
      <c r="J61" s="13"/>
      <c r="L61" s="96"/>
      <c r="M61" s="8"/>
    </row>
    <row r="62" spans="1:14" s="61" customFormat="1">
      <c r="B62"/>
      <c r="C62"/>
      <c r="D62" s="8"/>
      <c r="E62" s="83" t="s">
        <v>206</v>
      </c>
      <c r="F62" s="95">
        <v>1530000</v>
      </c>
      <c r="J62" s="13"/>
      <c r="M62" s="8"/>
    </row>
    <row r="63" spans="1:14" s="61" customFormat="1">
      <c r="A63"/>
      <c r="B63"/>
      <c r="C63"/>
      <c r="D63" s="8"/>
      <c r="E63" s="96" t="s">
        <v>46</v>
      </c>
      <c r="F63" s="99">
        <f>SUM(F57:F62)</f>
        <v>2927231.09</v>
      </c>
      <c r="J63" s="13"/>
      <c r="L63" s="83"/>
      <c r="M63" s="8"/>
    </row>
    <row r="64" spans="1:14">
      <c r="D64" s="8"/>
      <c r="E64" s="83"/>
      <c r="F64" s="151"/>
      <c r="G64" s="61"/>
      <c r="H64" s="79"/>
    </row>
    <row r="65" spans="1:8">
      <c r="D65" s="8"/>
      <c r="E65" s="96" t="s">
        <v>47</v>
      </c>
      <c r="F65" s="99">
        <f>+F55-F63</f>
        <v>-4233149.5</v>
      </c>
      <c r="G65" s="61"/>
      <c r="H65" s="79"/>
    </row>
    <row r="66" spans="1:8">
      <c r="D66" s="8"/>
      <c r="E66" s="61"/>
      <c r="F66" s="219"/>
      <c r="G66" s="61"/>
      <c r="H66" s="79"/>
    </row>
    <row r="67" spans="1:8">
      <c r="D67" s="8"/>
      <c r="E67" s="61"/>
      <c r="F67" s="219"/>
      <c r="G67" s="79"/>
      <c r="H67" s="79"/>
    </row>
    <row r="68" spans="1:8">
      <c r="D68" s="247" t="s">
        <v>192</v>
      </c>
      <c r="E68" s="61"/>
      <c r="F68" s="219"/>
      <c r="G68" s="79"/>
      <c r="H68" s="79"/>
    </row>
    <row r="69" spans="1:8">
      <c r="D69" s="247" t="s">
        <v>194</v>
      </c>
      <c r="E69" s="61"/>
      <c r="G69" s="127">
        <f>SUM(E76:F76)</f>
        <v>0</v>
      </c>
      <c r="H69" s="79"/>
    </row>
    <row r="70" spans="1:8">
      <c r="D70" s="8" t="s">
        <v>9</v>
      </c>
      <c r="E70" s="243"/>
      <c r="F70" s="247"/>
      <c r="G70" s="79"/>
      <c r="H70" s="79"/>
    </row>
    <row r="71" spans="1:8">
      <c r="D71" s="8" t="s">
        <v>195</v>
      </c>
      <c r="E71" s="243"/>
      <c r="F71" s="248"/>
      <c r="G71" s="79"/>
      <c r="H71" s="79"/>
    </row>
    <row r="72" spans="1:8">
      <c r="D72" s="8" t="s">
        <v>188</v>
      </c>
      <c r="E72" s="245"/>
      <c r="F72" s="250"/>
      <c r="G72" s="79"/>
      <c r="H72" s="79"/>
    </row>
    <row r="73" spans="1:8">
      <c r="D73" s="8"/>
      <c r="E73" s="245"/>
      <c r="F73" s="250"/>
      <c r="G73" s="79"/>
      <c r="H73" s="79"/>
    </row>
    <row r="74" spans="1:8">
      <c r="D74" s="8"/>
      <c r="E74" s="276"/>
      <c r="F74" s="250"/>
      <c r="G74" s="79"/>
      <c r="H74" s="79"/>
    </row>
    <row r="75" spans="1:8">
      <c r="D75" s="8"/>
      <c r="E75" s="124"/>
      <c r="F75" s="250"/>
      <c r="G75" s="79"/>
      <c r="H75" s="79"/>
    </row>
    <row r="76" spans="1:8">
      <c r="D76" s="8"/>
      <c r="E76" s="8"/>
      <c r="G76" s="79"/>
      <c r="H76" s="79"/>
    </row>
    <row r="77" spans="1:8">
      <c r="D77" s="8"/>
      <c r="E77" s="8"/>
    </row>
    <row r="78" spans="1:8">
      <c r="A78" s="268"/>
      <c r="D78" s="8"/>
      <c r="E78" s="8"/>
    </row>
    <row r="79" spans="1:8">
      <c r="E79" s="8"/>
    </row>
    <row r="80" spans="1:8">
      <c r="B80" s="235"/>
      <c r="E80" s="8"/>
    </row>
    <row r="81" spans="1:5">
      <c r="E81" s="8"/>
    </row>
    <row r="82" spans="1:5"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93"/>
    </row>
    <row r="111" spans="1:5">
      <c r="C111" s="155"/>
      <c r="E111" s="8"/>
    </row>
    <row r="112" spans="1:5">
      <c r="A112" s="269"/>
      <c r="E112" s="293"/>
    </row>
    <row r="113" spans="1:5">
      <c r="C113" s="155"/>
      <c r="E113" s="8"/>
    </row>
    <row r="114" spans="1:5">
      <c r="A114" s="269"/>
      <c r="E114" s="293"/>
    </row>
    <row r="115" spans="1:5">
      <c r="C115" s="155"/>
      <c r="E115" s="8"/>
    </row>
    <row r="116" spans="1:5">
      <c r="A116" s="269"/>
      <c r="E116" s="293"/>
    </row>
    <row r="117" spans="1:5">
      <c r="C117" s="155"/>
      <c r="E117" s="8"/>
    </row>
    <row r="118" spans="1:5">
      <c r="A118" s="269"/>
      <c r="E118" s="293"/>
    </row>
    <row r="119" spans="1:5">
      <c r="C119" s="155"/>
      <c r="E119" s="8"/>
    </row>
    <row r="120" spans="1:5">
      <c r="A120" s="269"/>
      <c r="E120" s="293"/>
    </row>
    <row r="121" spans="1:5">
      <c r="C121" s="155"/>
      <c r="E121" s="8"/>
    </row>
    <row r="122" spans="1:5">
      <c r="A122" s="269"/>
      <c r="E122" s="293"/>
    </row>
    <row r="123" spans="1:5">
      <c r="C123" s="155"/>
      <c r="E123" s="8"/>
    </row>
    <row r="124" spans="1:5">
      <c r="A124" s="269"/>
      <c r="E124" s="293"/>
    </row>
    <row r="125" spans="1:5">
      <c r="C125" s="155"/>
      <c r="E125" s="8"/>
    </row>
    <row r="126" spans="1:5">
      <c r="A126" s="269"/>
      <c r="E126" s="293"/>
    </row>
    <row r="127" spans="1:5">
      <c r="C127" s="155"/>
      <c r="E127" s="8"/>
    </row>
    <row r="128" spans="1:5">
      <c r="A128" s="269"/>
      <c r="E128" s="293"/>
    </row>
    <row r="129" spans="1:5">
      <c r="C129" s="155"/>
      <c r="E129" s="8"/>
    </row>
    <row r="130" spans="1:5">
      <c r="A130" s="269"/>
      <c r="E130" s="293"/>
    </row>
    <row r="131" spans="1:5">
      <c r="C131" s="155"/>
      <c r="E131" s="8"/>
    </row>
    <row r="132" spans="1:5">
      <c r="A132" s="269"/>
      <c r="E132" s="293"/>
    </row>
    <row r="133" spans="1:5">
      <c r="C133" s="155"/>
      <c r="E133" s="8"/>
    </row>
    <row r="134" spans="1:5">
      <c r="A134" s="269"/>
      <c r="E134" s="293"/>
    </row>
    <row r="135" spans="1:5">
      <c r="C135" s="155"/>
      <c r="E135" s="8"/>
    </row>
    <row r="136" spans="1:5">
      <c r="A136" s="269"/>
      <c r="E136" s="293"/>
    </row>
    <row r="137" spans="1:5">
      <c r="C137" s="155"/>
      <c r="E137" s="8"/>
    </row>
    <row r="138" spans="1:5">
      <c r="A138" s="269"/>
      <c r="E138" s="293"/>
    </row>
    <row r="139" spans="1:5">
      <c r="C139" s="155"/>
      <c r="E139" s="8"/>
    </row>
    <row r="140" spans="1:5">
      <c r="A140" s="269"/>
      <c r="E140" s="293"/>
    </row>
    <row r="141" spans="1:5">
      <c r="C141" s="155"/>
      <c r="E141" s="8"/>
    </row>
    <row r="142" spans="1:5">
      <c r="A142" s="269"/>
      <c r="E142" s="293"/>
    </row>
    <row r="143" spans="1:5">
      <c r="C143" s="155"/>
      <c r="E143" s="8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C199" s="155"/>
    </row>
    <row r="200" spans="1:5">
      <c r="A200" s="269"/>
      <c r="E200" s="155"/>
    </row>
    <row r="201" spans="1:5">
      <c r="C201" s="155"/>
    </row>
    <row r="202" spans="1:5">
      <c r="A202" s="269"/>
      <c r="E202" s="155"/>
    </row>
    <row r="203" spans="1:5">
      <c r="D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5">
      <c r="C209" s="155"/>
    </row>
    <row r="210" spans="1:5">
      <c r="A210" s="269"/>
      <c r="E210" s="155"/>
    </row>
    <row r="211" spans="1:5">
      <c r="C211" s="155"/>
    </row>
    <row r="212" spans="1:5">
      <c r="A212" s="269"/>
      <c r="E212" s="155"/>
    </row>
    <row r="213" spans="1:5">
      <c r="C213" s="155"/>
    </row>
    <row r="214" spans="1:5">
      <c r="A214" s="269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2529F-101D-477D-8984-907E3C491606}">
  <dimension ref="A6:O214"/>
  <sheetViews>
    <sheetView showGridLines="0" workbookViewId="0">
      <selection sqref="A1:XFD1048576"/>
    </sheetView>
  </sheetViews>
  <sheetFormatPr baseColWidth="10" defaultRowHeight="14.5"/>
  <cols>
    <col min="2" max="2" width="16.54296875" customWidth="1"/>
    <col min="4" max="4" width="22" customWidth="1"/>
    <col min="5" max="5" width="29.26953125" bestFit="1" customWidth="1"/>
    <col min="6" max="6" width="18.81640625" style="220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style="61" bestFit="1" customWidth="1"/>
    <col min="13" max="13" width="14" style="61" customWidth="1"/>
  </cols>
  <sheetData>
    <row r="6" spans="1:15" s="8" customFormat="1" ht="18">
      <c r="A6" s="5" t="s">
        <v>20</v>
      </c>
      <c r="B6" s="5"/>
      <c r="C6" s="5"/>
      <c r="D6" s="5"/>
      <c r="E6" s="6" t="s">
        <v>0</v>
      </c>
      <c r="F6" s="322"/>
      <c r="G6" s="5"/>
      <c r="H6" s="5"/>
      <c r="I6" s="5"/>
      <c r="J6" s="209"/>
      <c r="K6" s="5"/>
      <c r="L6" s="61"/>
      <c r="M6" s="61"/>
    </row>
    <row r="7" spans="1:15">
      <c r="A7" s="1"/>
      <c r="B7" s="1"/>
      <c r="C7" s="1"/>
      <c r="D7" s="1"/>
      <c r="E7" s="1"/>
      <c r="F7" s="153"/>
      <c r="G7" s="1"/>
      <c r="H7" s="1"/>
      <c r="I7" s="1"/>
      <c r="J7" s="76"/>
      <c r="K7" s="1"/>
      <c r="L7" s="61" t="s">
        <v>20</v>
      </c>
    </row>
    <row r="8" spans="1:15">
      <c r="A8" s="1"/>
      <c r="B8" s="1"/>
      <c r="C8" s="1"/>
      <c r="D8" s="1"/>
      <c r="E8" s="1"/>
      <c r="F8" s="153"/>
      <c r="G8" s="1"/>
      <c r="H8" s="1"/>
      <c r="I8" s="4"/>
      <c r="J8" s="76"/>
      <c r="K8" s="76"/>
    </row>
    <row r="9" spans="1:15">
      <c r="A9" s="1"/>
      <c r="B9" s="1"/>
      <c r="C9" s="1"/>
      <c r="D9" s="1"/>
      <c r="E9" s="1"/>
      <c r="F9" s="153" t="s">
        <v>358</v>
      </c>
      <c r="G9" s="1"/>
      <c r="H9" s="1"/>
      <c r="I9" s="4"/>
      <c r="J9" s="76"/>
      <c r="K9" s="1"/>
    </row>
    <row r="10" spans="1:15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5" ht="19" thickBot="1">
      <c r="A11" s="1"/>
      <c r="B11" s="1"/>
      <c r="C11" s="1"/>
      <c r="D11" s="1"/>
      <c r="E11" s="295"/>
      <c r="F11" s="309"/>
      <c r="G11" s="296"/>
      <c r="H11" s="1"/>
      <c r="I11" s="1"/>
      <c r="J11" s="76"/>
      <c r="K11" s="1"/>
    </row>
    <row r="12" spans="1:15" ht="19" thickBot="1">
      <c r="A12" s="1"/>
      <c r="B12" s="331" t="s">
        <v>2</v>
      </c>
      <c r="C12" s="332"/>
      <c r="D12" s="332"/>
      <c r="E12" s="333"/>
      <c r="F12" s="309"/>
      <c r="G12" s="296"/>
      <c r="H12" s="1"/>
      <c r="I12" s="1"/>
      <c r="J12" s="76"/>
      <c r="K12" s="1"/>
    </row>
    <row r="13" spans="1:15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M13" s="61" t="s">
        <v>20</v>
      </c>
    </row>
    <row r="14" spans="1:15" ht="18" thickBot="1">
      <c r="A14" s="11"/>
      <c r="B14" s="334" t="s">
        <v>3</v>
      </c>
      <c r="C14" s="335"/>
      <c r="D14" s="336"/>
      <c r="E14" s="17">
        <f>SUM(E15:E17)</f>
        <v>968013.12</v>
      </c>
      <c r="F14" s="264"/>
      <c r="G14" s="331" t="s">
        <v>4</v>
      </c>
      <c r="H14" s="332"/>
      <c r="I14" s="332"/>
      <c r="J14" s="332"/>
      <c r="K14" s="333"/>
      <c r="L14" s="13"/>
      <c r="N14" s="79"/>
      <c r="O14" s="79"/>
    </row>
    <row r="15" spans="1:15">
      <c r="A15" s="1"/>
      <c r="B15" s="337" t="s">
        <v>5</v>
      </c>
      <c r="C15" s="338"/>
      <c r="D15" s="339"/>
      <c r="E15" s="20">
        <f>J16+J17+J18+J19</f>
        <v>917688.41</v>
      </c>
      <c r="F15" s="153"/>
      <c r="G15" s="340" t="s">
        <v>6</v>
      </c>
      <c r="H15" s="341"/>
      <c r="I15" s="21"/>
      <c r="J15" s="342" t="s">
        <v>5</v>
      </c>
      <c r="K15" s="343"/>
      <c r="L15" s="13"/>
      <c r="N15" s="79"/>
      <c r="O15" s="79"/>
    </row>
    <row r="16" spans="1:15">
      <c r="A16" s="1"/>
      <c r="B16" s="349" t="s">
        <v>7</v>
      </c>
      <c r="C16" s="350"/>
      <c r="D16" s="351"/>
      <c r="E16" s="20">
        <f>G22+G23</f>
        <v>18284.740000000002</v>
      </c>
      <c r="F16" s="153"/>
      <c r="G16" s="22">
        <v>13475.22</v>
      </c>
      <c r="H16" s="23" t="s">
        <v>8</v>
      </c>
      <c r="I16" s="24"/>
      <c r="J16" s="25">
        <v>65518.94</v>
      </c>
      <c r="K16" s="26" t="s">
        <v>9</v>
      </c>
      <c r="L16" s="19"/>
      <c r="N16" s="79"/>
      <c r="O16" s="79"/>
    </row>
    <row r="17" spans="1:15">
      <c r="A17" s="1"/>
      <c r="B17" s="352" t="s">
        <v>6</v>
      </c>
      <c r="C17" s="353"/>
      <c r="D17" s="354"/>
      <c r="E17" s="28">
        <f>G16+G17+G18</f>
        <v>32039.969999999987</v>
      </c>
      <c r="F17" s="153">
        <f>E15+E16+E17</f>
        <v>968013.12</v>
      </c>
      <c r="G17" s="22">
        <v>11348.23</v>
      </c>
      <c r="H17" s="29" t="s">
        <v>10</v>
      </c>
      <c r="I17" s="30"/>
      <c r="J17" s="25">
        <v>128432.29</v>
      </c>
      <c r="K17" s="31" t="s">
        <v>10</v>
      </c>
      <c r="L17" s="13"/>
      <c r="N17" s="79"/>
      <c r="O17" s="79"/>
    </row>
    <row r="18" spans="1:15">
      <c r="A18" s="1"/>
      <c r="B18" s="236" t="s">
        <v>187</v>
      </c>
      <c r="C18" s="237"/>
      <c r="D18" s="238"/>
      <c r="E18" s="28">
        <f>+J22</f>
        <v>15126.95</v>
      </c>
      <c r="F18" s="153">
        <v>90000</v>
      </c>
      <c r="G18" s="22">
        <f>212036.33-204819.81</f>
        <v>7216.5199999999895</v>
      </c>
      <c r="H18" s="29" t="s">
        <v>12</v>
      </c>
      <c r="I18" s="30"/>
      <c r="J18" s="25">
        <v>698610</v>
      </c>
      <c r="K18" s="31" t="s">
        <v>12</v>
      </c>
      <c r="L18" s="9"/>
      <c r="N18" s="79"/>
      <c r="O18" s="79"/>
    </row>
    <row r="19" spans="1:15">
      <c r="B19" s="379" t="s">
        <v>11</v>
      </c>
      <c r="C19" s="380"/>
      <c r="D19" s="381"/>
      <c r="E19" s="20">
        <f>G29+G31+G30+G28</f>
        <v>15211.560000000001</v>
      </c>
      <c r="F19" s="153">
        <f>+F17-F18</f>
        <v>878013.12</v>
      </c>
      <c r="G19" s="33"/>
      <c r="H19" s="34"/>
      <c r="I19" s="30"/>
      <c r="J19" s="25">
        <v>25127.18</v>
      </c>
      <c r="K19" s="31" t="s">
        <v>14</v>
      </c>
      <c r="L19" s="8"/>
      <c r="N19" s="79"/>
      <c r="O19" s="79"/>
    </row>
    <row r="20" spans="1:15">
      <c r="B20" s="344" t="s">
        <v>13</v>
      </c>
      <c r="C20" s="345"/>
      <c r="D20" s="346"/>
      <c r="E20" s="20">
        <v>15504771.859999999</v>
      </c>
      <c r="F20" s="153"/>
      <c r="G20" s="239"/>
      <c r="H20" s="240"/>
      <c r="I20" s="30"/>
      <c r="J20" s="25"/>
      <c r="K20" s="31"/>
      <c r="L20" s="124"/>
      <c r="M20" s="61" t="s">
        <v>405</v>
      </c>
      <c r="N20" s="79"/>
      <c r="O20" s="79"/>
    </row>
    <row r="21" spans="1:15">
      <c r="B21" s="187" t="s">
        <v>15</v>
      </c>
      <c r="C21" s="188"/>
      <c r="D21" s="189"/>
      <c r="E21" s="190">
        <f>SUM(E22:E24)</f>
        <v>47096</v>
      </c>
      <c r="F21" s="153"/>
      <c r="G21" s="361" t="s">
        <v>16</v>
      </c>
      <c r="H21" s="362"/>
      <c r="I21" s="36"/>
      <c r="J21" s="241" t="s">
        <v>187</v>
      </c>
      <c r="K21" s="242"/>
      <c r="L21" s="154"/>
      <c r="N21" s="79"/>
      <c r="O21" s="79"/>
    </row>
    <row r="22" spans="1:15" ht="15" customHeight="1">
      <c r="B22" s="303"/>
      <c r="C22" s="304"/>
      <c r="D22" s="308" t="s">
        <v>383</v>
      </c>
      <c r="E22" s="190">
        <v>47096</v>
      </c>
      <c r="F22" s="153"/>
      <c r="G22" s="44">
        <v>8621.0400000000009</v>
      </c>
      <c r="H22" s="29" t="s">
        <v>10</v>
      </c>
      <c r="I22" s="30"/>
      <c r="J22" s="25">
        <f>15126.95</f>
        <v>15126.95</v>
      </c>
      <c r="K22" s="31" t="s">
        <v>188</v>
      </c>
      <c r="L22" s="154"/>
      <c r="N22" s="79"/>
      <c r="O22" s="79"/>
    </row>
    <row r="23" spans="1:15" ht="15" customHeight="1">
      <c r="B23" s="325"/>
      <c r="C23" s="326"/>
      <c r="D23" s="308"/>
      <c r="E23" s="190">
        <v>0</v>
      </c>
      <c r="F23" s="153"/>
      <c r="G23" s="44">
        <v>9663.7000000000007</v>
      </c>
      <c r="H23" s="29" t="s">
        <v>18</v>
      </c>
      <c r="I23" s="30"/>
      <c r="J23" s="25"/>
      <c r="K23" s="31"/>
      <c r="L23" s="154"/>
      <c r="N23" s="79"/>
      <c r="O23" s="79"/>
    </row>
    <row r="24" spans="1:15" ht="15" thickBot="1">
      <c r="B24" s="187"/>
      <c r="C24" s="188"/>
      <c r="D24" s="308"/>
      <c r="E24" s="190">
        <v>0</v>
      </c>
      <c r="F24" s="153"/>
      <c r="G24" s="51"/>
      <c r="H24" s="34"/>
      <c r="I24" s="30"/>
      <c r="J24" s="210"/>
      <c r="K24" s="53"/>
      <c r="L24" s="154"/>
      <c r="M24" s="311"/>
      <c r="N24" s="79"/>
      <c r="O24" s="79"/>
    </row>
    <row r="25" spans="1:15" ht="15" thickBot="1">
      <c r="B25" s="202" t="s">
        <v>17</v>
      </c>
      <c r="C25" s="203"/>
      <c r="D25" s="204"/>
      <c r="E25" s="234">
        <v>80000</v>
      </c>
      <c r="G25" s="331" t="s">
        <v>21</v>
      </c>
      <c r="H25" s="332"/>
      <c r="I25" s="332"/>
      <c r="J25" s="332"/>
      <c r="K25" s="333"/>
      <c r="L25" s="8"/>
      <c r="N25" s="79"/>
      <c r="O25" s="79"/>
    </row>
    <row r="26" spans="1:15">
      <c r="B26" s="202" t="s">
        <v>163</v>
      </c>
      <c r="C26" s="203"/>
      <c r="D26" s="204"/>
      <c r="E26" s="234">
        <v>350000</v>
      </c>
      <c r="F26" s="153">
        <f>+F19</f>
        <v>878013.12</v>
      </c>
      <c r="G26" s="54"/>
      <c r="H26" s="55"/>
      <c r="I26" s="56"/>
      <c r="J26" s="211"/>
      <c r="K26" s="58"/>
      <c r="N26" s="79"/>
      <c r="O26" s="79"/>
    </row>
    <row r="27" spans="1:15">
      <c r="B27" s="199" t="s">
        <v>22</v>
      </c>
      <c r="C27" s="200"/>
      <c r="D27" s="201"/>
      <c r="E27" s="234">
        <v>269.39999999999998</v>
      </c>
      <c r="F27" s="288">
        <f>SUM(E25:E31)</f>
        <v>495269.4</v>
      </c>
      <c r="G27" s="377" t="s">
        <v>5</v>
      </c>
      <c r="H27" s="378"/>
      <c r="I27" s="59"/>
      <c r="J27" s="60"/>
      <c r="K27" s="45"/>
      <c r="N27" s="79"/>
      <c r="O27" s="79"/>
    </row>
    <row r="28" spans="1:15">
      <c r="B28" s="199" t="s">
        <v>105</v>
      </c>
      <c r="C28" s="200"/>
      <c r="D28" s="201"/>
      <c r="E28" s="234">
        <v>65000</v>
      </c>
      <c r="F28" s="153">
        <f>+F26-F27</f>
        <v>382743.72</v>
      </c>
      <c r="G28" s="22">
        <v>4222.3999999999996</v>
      </c>
      <c r="H28" s="62" t="s">
        <v>9</v>
      </c>
      <c r="I28" s="59"/>
      <c r="J28" s="60"/>
      <c r="K28" s="45"/>
      <c r="N28" s="155"/>
    </row>
    <row r="29" spans="1:15">
      <c r="B29" s="199" t="s">
        <v>24</v>
      </c>
      <c r="C29" s="200"/>
      <c r="D29" s="201"/>
      <c r="E29" s="49">
        <v>0</v>
      </c>
      <c r="F29" s="221"/>
      <c r="G29" s="22">
        <v>1714.33</v>
      </c>
      <c r="H29" s="62" t="s">
        <v>26</v>
      </c>
      <c r="I29" s="63"/>
      <c r="J29" s="64"/>
      <c r="K29" s="65"/>
    </row>
    <row r="30" spans="1:15">
      <c r="B30" s="344" t="s">
        <v>69</v>
      </c>
      <c r="C30" s="345"/>
      <c r="D30" s="346"/>
      <c r="E30" s="234">
        <v>0</v>
      </c>
      <c r="G30" s="67">
        <v>1923.44</v>
      </c>
      <c r="H30" s="68" t="s">
        <v>14</v>
      </c>
      <c r="I30" s="63"/>
      <c r="J30" s="64"/>
      <c r="K30" s="65"/>
      <c r="N30" s="155"/>
    </row>
    <row r="31" spans="1:15" ht="15" thickBot="1">
      <c r="B31" s="363" t="s">
        <v>29</v>
      </c>
      <c r="C31" s="364"/>
      <c r="D31" s="365"/>
      <c r="E31" s="66">
        <v>0</v>
      </c>
      <c r="G31" s="71">
        <v>7351.39</v>
      </c>
      <c r="H31" s="72" t="s">
        <v>12</v>
      </c>
      <c r="I31" s="73"/>
      <c r="J31" s="74"/>
      <c r="K31" s="75"/>
    </row>
    <row r="32" spans="1:15">
      <c r="E32" s="61"/>
      <c r="F32" s="219"/>
      <c r="N32" s="155"/>
    </row>
    <row r="33" spans="1:14">
      <c r="E33" s="61"/>
      <c r="F33" s="219"/>
    </row>
    <row r="34" spans="1:14">
      <c r="E34" s="61"/>
      <c r="F34" s="219"/>
      <c r="H34" s="61"/>
      <c r="I34" s="61"/>
      <c r="J34" s="39"/>
      <c r="K34" s="61"/>
      <c r="N34" s="155"/>
    </row>
    <row r="35" spans="1:14">
      <c r="D35" s="8"/>
      <c r="E35" s="61"/>
      <c r="F35" s="219"/>
      <c r="G35" s="8"/>
      <c r="H35" s="61"/>
      <c r="I35" s="61"/>
      <c r="J35" s="39"/>
      <c r="K35" s="61"/>
    </row>
    <row r="36" spans="1:14">
      <c r="B36" s="61"/>
      <c r="C36" s="61"/>
      <c r="D36" s="8"/>
      <c r="E36" s="78" t="s">
        <v>420</v>
      </c>
      <c r="F36" s="297"/>
      <c r="G36" s="8"/>
      <c r="H36" s="13"/>
      <c r="I36" s="61"/>
      <c r="J36" s="13"/>
      <c r="K36" s="83"/>
      <c r="N36" s="155"/>
    </row>
    <row r="37" spans="1:14">
      <c r="A37" s="61"/>
      <c r="B37" s="61"/>
      <c r="C37" s="61"/>
      <c r="D37" s="8"/>
      <c r="E37" s="78"/>
      <c r="F37" s="297"/>
      <c r="G37" s="181"/>
      <c r="H37" s="161"/>
      <c r="I37" s="197"/>
      <c r="J37" s="13"/>
      <c r="K37" s="83"/>
    </row>
    <row r="38" spans="1:14" s="61" customFormat="1" ht="15" customHeight="1">
      <c r="D38" s="8"/>
      <c r="E38" s="83" t="s">
        <v>34</v>
      </c>
      <c r="F38" s="297">
        <f>F19</f>
        <v>878013.12</v>
      </c>
      <c r="G38" s="86"/>
      <c r="I38" s="197"/>
      <c r="J38" s="13"/>
      <c r="K38" s="83"/>
      <c r="L38" s="88"/>
      <c r="N38" s="273"/>
    </row>
    <row r="39" spans="1:14" s="61" customFormat="1" ht="15" customHeight="1">
      <c r="D39" s="8"/>
      <c r="E39" s="83" t="s">
        <v>35</v>
      </c>
      <c r="F39" s="297">
        <f>+E19</f>
        <v>15211.560000000001</v>
      </c>
      <c r="G39" s="86"/>
      <c r="H39" s="161"/>
      <c r="I39" s="197"/>
      <c r="J39" s="13"/>
      <c r="K39" s="85"/>
      <c r="L39" s="161"/>
    </row>
    <row r="40" spans="1:14" s="61" customFormat="1" ht="15" customHeight="1">
      <c r="D40" s="8"/>
      <c r="E40" s="83" t="s">
        <v>36</v>
      </c>
      <c r="F40" s="297">
        <v>0</v>
      </c>
      <c r="G40" s="86"/>
      <c r="I40" s="214"/>
      <c r="J40" s="13"/>
      <c r="K40" s="87"/>
      <c r="L40" s="161"/>
      <c r="N40" s="273"/>
    </row>
    <row r="41" spans="1:14" s="61" customFormat="1" ht="15" customHeight="1">
      <c r="D41" s="8"/>
      <c r="E41" s="83" t="s">
        <v>37</v>
      </c>
      <c r="F41" s="297">
        <v>0</v>
      </c>
      <c r="G41" s="9"/>
      <c r="I41" s="197"/>
      <c r="J41" s="13"/>
    </row>
    <row r="42" spans="1:14" s="61" customFormat="1" ht="15" customHeight="1">
      <c r="D42" s="8"/>
      <c r="E42" s="85" t="s">
        <v>38</v>
      </c>
      <c r="F42" s="231">
        <f>SUM(F38:F41)</f>
        <v>893224.68</v>
      </c>
      <c r="G42" s="9"/>
      <c r="I42" s="197"/>
      <c r="J42" s="13"/>
      <c r="N42" s="273"/>
    </row>
    <row r="43" spans="1:14" s="61" customFormat="1" ht="15" customHeight="1">
      <c r="D43" s="8"/>
      <c r="E43" s="87"/>
      <c r="F43" s="232"/>
      <c r="G43" s="9"/>
      <c r="H43" s="163"/>
      <c r="I43" s="229"/>
      <c r="J43" s="13"/>
    </row>
    <row r="44" spans="1:14" s="61" customFormat="1" ht="15" customHeight="1">
      <c r="D44" s="8"/>
      <c r="E44" s="87" t="s">
        <v>180</v>
      </c>
      <c r="F44" s="232">
        <v>0</v>
      </c>
      <c r="G44" s="9"/>
      <c r="H44" s="165"/>
      <c r="I44" s="230"/>
      <c r="J44" s="13"/>
      <c r="N44" s="273"/>
    </row>
    <row r="45" spans="1:14" s="61" customFormat="1" ht="15" customHeight="1">
      <c r="D45" s="8"/>
      <c r="E45" s="87" t="s">
        <v>152</v>
      </c>
      <c r="F45" s="232">
        <v>320000</v>
      </c>
      <c r="G45" s="226"/>
      <c r="H45" s="165"/>
      <c r="I45" s="230"/>
      <c r="J45" s="13"/>
      <c r="N45" s="273"/>
    </row>
    <row r="46" spans="1:14" s="61" customFormat="1" ht="15" customHeight="1">
      <c r="D46" s="8"/>
      <c r="E46" s="87" t="s">
        <v>189</v>
      </c>
      <c r="F46" s="232">
        <v>1350000</v>
      </c>
      <c r="G46" s="226"/>
      <c r="H46" s="165"/>
      <c r="I46" s="230"/>
      <c r="J46" s="13"/>
      <c r="N46" s="273"/>
    </row>
    <row r="47" spans="1:14" s="61" customFormat="1" ht="15" customHeight="1">
      <c r="D47" s="8"/>
      <c r="E47" s="87" t="s">
        <v>419</v>
      </c>
      <c r="F47" s="232">
        <v>100000</v>
      </c>
      <c r="G47" s="9"/>
      <c r="H47" s="165"/>
      <c r="I47" s="230"/>
      <c r="J47" s="13"/>
      <c r="N47" s="273"/>
    </row>
    <row r="48" spans="1:14" s="61" customFormat="1" ht="15" customHeight="1">
      <c r="D48" s="8"/>
      <c r="E48" s="87" t="s">
        <v>105</v>
      </c>
      <c r="F48" s="232">
        <v>65000</v>
      </c>
      <c r="G48" s="9"/>
      <c r="H48" s="165"/>
      <c r="I48" s="230"/>
      <c r="J48" s="13"/>
      <c r="N48" s="273"/>
    </row>
    <row r="49" spans="1:14" s="61" customFormat="1" ht="15" customHeight="1">
      <c r="D49" s="8"/>
      <c r="E49" s="87" t="s">
        <v>81</v>
      </c>
      <c r="F49" s="232">
        <v>0</v>
      </c>
      <c r="G49" s="9"/>
      <c r="H49" s="165"/>
      <c r="I49" s="230"/>
      <c r="J49" s="13"/>
      <c r="N49" s="273"/>
    </row>
    <row r="50" spans="1:14" s="61" customFormat="1" ht="15" customHeight="1">
      <c r="D50" s="8"/>
      <c r="E50" s="87" t="s">
        <v>69</v>
      </c>
      <c r="F50" s="232">
        <f>11216+13459+11216</f>
        <v>35891</v>
      </c>
      <c r="G50" s="9"/>
      <c r="H50" s="165"/>
      <c r="I50" s="230"/>
      <c r="J50" s="13"/>
      <c r="N50" s="273"/>
    </row>
    <row r="51" spans="1:14" s="61" customFormat="1" ht="15" customHeight="1">
      <c r="D51" s="8"/>
      <c r="E51" s="91" t="s">
        <v>24</v>
      </c>
      <c r="F51" s="228">
        <v>346622.07</v>
      </c>
      <c r="G51" s="9"/>
      <c r="H51" s="165"/>
      <c r="I51" s="230"/>
      <c r="J51" s="13"/>
      <c r="N51" s="273"/>
    </row>
    <row r="52" spans="1:14" s="61" customFormat="1" ht="15" customHeight="1">
      <c r="D52" s="8"/>
      <c r="E52" s="91" t="s">
        <v>22</v>
      </c>
      <c r="F52" s="228">
        <v>50000</v>
      </c>
      <c r="G52" s="8"/>
      <c r="H52" s="91"/>
      <c r="I52" s="231"/>
      <c r="J52" s="13"/>
    </row>
    <row r="53" spans="1:14" s="61" customFormat="1" ht="15" customHeight="1">
      <c r="D53" s="8"/>
      <c r="E53" s="91" t="s">
        <v>40</v>
      </c>
      <c r="F53" s="232">
        <v>80000</v>
      </c>
      <c r="G53" s="8"/>
      <c r="H53" s="96"/>
      <c r="I53" s="231"/>
      <c r="J53" s="262"/>
    </row>
    <row r="54" spans="1:14" s="61" customFormat="1">
      <c r="D54" s="8"/>
      <c r="E54" s="96" t="s">
        <v>41</v>
      </c>
      <c r="F54" s="231">
        <f>SUM(F44:F53)</f>
        <v>2347513.0699999998</v>
      </c>
      <c r="G54" s="82"/>
      <c r="H54" s="83"/>
      <c r="I54" s="228"/>
      <c r="J54" s="13"/>
    </row>
    <row r="55" spans="1:14" s="61" customFormat="1">
      <c r="D55" s="8"/>
      <c r="E55" s="96" t="s">
        <v>42</v>
      </c>
      <c r="F55" s="231">
        <f>F42-F54</f>
        <v>-1454288.3899999997</v>
      </c>
      <c r="G55" s="82"/>
      <c r="H55" s="83"/>
      <c r="I55" s="233"/>
      <c r="J55" s="13"/>
    </row>
    <row r="56" spans="1:14" s="61" customFormat="1">
      <c r="D56" s="8"/>
      <c r="E56" s="83"/>
      <c r="F56" s="151"/>
      <c r="G56" s="82"/>
      <c r="H56" s="83"/>
      <c r="I56" s="233"/>
      <c r="J56" s="13"/>
    </row>
    <row r="57" spans="1:14" s="61" customFormat="1">
      <c r="D57" s="8"/>
      <c r="E57" s="83" t="s">
        <v>43</v>
      </c>
      <c r="F57" s="151">
        <v>45000</v>
      </c>
      <c r="G57" s="82"/>
      <c r="H57" s="83"/>
      <c r="I57" s="233"/>
      <c r="J57" s="13"/>
      <c r="L57" s="91"/>
    </row>
    <row r="58" spans="1:14" s="61" customFormat="1">
      <c r="D58" s="8"/>
      <c r="E58" s="83" t="s">
        <v>44</v>
      </c>
      <c r="F58" s="151">
        <f>170000-60000-15000+390000-300000-50000</f>
        <v>135000</v>
      </c>
      <c r="G58" s="82"/>
      <c r="H58" s="96"/>
      <c r="I58" s="228"/>
      <c r="J58" s="13"/>
      <c r="L58" s="91"/>
    </row>
    <row r="59" spans="1:14" s="61" customFormat="1">
      <c r="D59" s="8"/>
      <c r="E59" s="83" t="s">
        <v>386</v>
      </c>
      <c r="F59" s="151">
        <v>3866.8</v>
      </c>
      <c r="G59" s="82"/>
      <c r="H59" s="96"/>
      <c r="I59" s="228"/>
      <c r="J59" s="13"/>
      <c r="L59" s="91"/>
    </row>
    <row r="60" spans="1:14" s="61" customFormat="1">
      <c r="D60" s="8"/>
      <c r="E60" s="83" t="s">
        <v>45</v>
      </c>
      <c r="F60" s="95">
        <v>1163364.29</v>
      </c>
      <c r="G60" s="82"/>
      <c r="H60" s="83"/>
      <c r="I60" s="233"/>
      <c r="J60" s="13"/>
      <c r="L60" s="96"/>
    </row>
    <row r="61" spans="1:14" s="61" customFormat="1">
      <c r="D61" s="8"/>
      <c r="E61" s="83" t="s">
        <v>205</v>
      </c>
      <c r="F61" s="95">
        <v>0</v>
      </c>
      <c r="H61" s="96"/>
      <c r="I61" s="219"/>
      <c r="J61" s="13"/>
      <c r="L61" s="96"/>
    </row>
    <row r="62" spans="1:14" s="61" customFormat="1">
      <c r="B62"/>
      <c r="C62"/>
      <c r="D62" s="8"/>
      <c r="E62" s="83" t="s">
        <v>206</v>
      </c>
      <c r="F62" s="95">
        <v>1530000</v>
      </c>
      <c r="J62" s="13"/>
    </row>
    <row r="63" spans="1:14" s="61" customFormat="1">
      <c r="A63"/>
      <c r="B63"/>
      <c r="C63"/>
      <c r="D63" s="8"/>
      <c r="E63" s="96" t="s">
        <v>46</v>
      </c>
      <c r="F63" s="99">
        <f>SUM(F57:F62)</f>
        <v>2877231.09</v>
      </c>
      <c r="J63" s="13"/>
      <c r="L63" s="83"/>
    </row>
    <row r="64" spans="1:14">
      <c r="D64" s="8"/>
      <c r="E64" s="83"/>
      <c r="F64" s="151"/>
      <c r="G64" s="61"/>
      <c r="H64" s="79"/>
    </row>
    <row r="65" spans="1:8">
      <c r="D65" s="8"/>
      <c r="E65" s="96" t="s">
        <v>47</v>
      </c>
      <c r="F65" s="99">
        <f>+F55-F63</f>
        <v>-4331519.4799999995</v>
      </c>
      <c r="G65" s="61"/>
      <c r="H65" s="79"/>
    </row>
    <row r="66" spans="1:8">
      <c r="D66" s="8"/>
      <c r="E66" s="8"/>
      <c r="G66" s="61"/>
      <c r="H66" s="79"/>
    </row>
    <row r="67" spans="1:8">
      <c r="D67" s="8"/>
      <c r="E67" s="8"/>
      <c r="G67" s="79"/>
      <c r="H67" s="79"/>
    </row>
    <row r="68" spans="1:8">
      <c r="D68" s="247" t="s">
        <v>192</v>
      </c>
      <c r="E68" s="61"/>
      <c r="F68" s="219"/>
      <c r="G68" s="79"/>
      <c r="H68" s="79"/>
    </row>
    <row r="69" spans="1:8">
      <c r="D69" s="247" t="s">
        <v>194</v>
      </c>
      <c r="E69" s="61"/>
      <c r="G69" s="127">
        <f>SUM(E76:F76)</f>
        <v>0</v>
      </c>
      <c r="H69" s="79"/>
    </row>
    <row r="70" spans="1:8">
      <c r="D70" s="8" t="s">
        <v>9</v>
      </c>
      <c r="E70" s="243"/>
      <c r="F70" s="247"/>
      <c r="G70" s="79"/>
      <c r="H70" s="79"/>
    </row>
    <row r="71" spans="1:8">
      <c r="D71" s="8" t="s">
        <v>195</v>
      </c>
      <c r="E71" s="243"/>
      <c r="F71" s="248"/>
      <c r="G71" s="79"/>
      <c r="H71" s="79"/>
    </row>
    <row r="72" spans="1:8">
      <c r="D72" s="8" t="s">
        <v>188</v>
      </c>
      <c r="E72" s="245"/>
      <c r="F72" s="250"/>
      <c r="G72" s="79"/>
      <c r="H72" s="79"/>
    </row>
    <row r="73" spans="1:8">
      <c r="D73" s="8"/>
      <c r="E73" s="245"/>
      <c r="F73" s="250"/>
      <c r="G73" s="79"/>
      <c r="H73" s="79"/>
    </row>
    <row r="74" spans="1:8">
      <c r="D74" s="8"/>
      <c r="E74" s="276"/>
      <c r="F74" s="250"/>
      <c r="G74" s="79"/>
      <c r="H74" s="79"/>
    </row>
    <row r="75" spans="1:8">
      <c r="D75" s="8"/>
      <c r="E75" s="124"/>
      <c r="F75" s="250"/>
      <c r="G75" s="79"/>
      <c r="H75" s="79"/>
    </row>
    <row r="76" spans="1:8">
      <c r="D76" s="8"/>
      <c r="E76" s="8"/>
      <c r="G76" s="79"/>
      <c r="H76" s="79"/>
    </row>
    <row r="77" spans="1:8">
      <c r="D77" s="8"/>
      <c r="E77" s="8"/>
    </row>
    <row r="78" spans="1:8">
      <c r="A78" s="268"/>
      <c r="D78" s="8"/>
      <c r="E78" s="8"/>
    </row>
    <row r="79" spans="1:8">
      <c r="E79" s="8"/>
    </row>
    <row r="80" spans="1:8">
      <c r="B80" s="235"/>
      <c r="E80" s="8"/>
    </row>
    <row r="81" spans="1:5">
      <c r="E81" s="8"/>
    </row>
    <row r="82" spans="1:5">
      <c r="E82" s="293"/>
    </row>
    <row r="83" spans="1:5">
      <c r="C83" s="155"/>
      <c r="E83" s="8"/>
    </row>
    <row r="84" spans="1:5">
      <c r="A84" s="269"/>
      <c r="E84" s="293"/>
    </row>
    <row r="85" spans="1:5">
      <c r="C85" s="155"/>
      <c r="E85" s="8"/>
    </row>
    <row r="86" spans="1:5">
      <c r="A86" s="269"/>
      <c r="E86" s="293"/>
    </row>
    <row r="87" spans="1:5">
      <c r="C87" s="155"/>
      <c r="E87" s="8"/>
    </row>
    <row r="88" spans="1:5">
      <c r="A88" s="269"/>
      <c r="E88" s="293"/>
    </row>
    <row r="89" spans="1:5">
      <c r="C89" s="155"/>
      <c r="E89" s="8"/>
    </row>
    <row r="90" spans="1:5">
      <c r="A90" s="269"/>
      <c r="E90" s="293"/>
    </row>
    <row r="91" spans="1:5">
      <c r="C91" s="155"/>
      <c r="E91" s="8"/>
    </row>
    <row r="92" spans="1:5">
      <c r="A92" s="269"/>
      <c r="E92" s="293"/>
    </row>
    <row r="93" spans="1:5">
      <c r="C93" s="155"/>
      <c r="E93" s="8"/>
    </row>
    <row r="94" spans="1:5">
      <c r="A94" s="269"/>
      <c r="E94" s="293"/>
    </row>
    <row r="95" spans="1:5">
      <c r="C95" s="155"/>
      <c r="E95" s="8"/>
    </row>
    <row r="96" spans="1:5">
      <c r="A96" s="269"/>
      <c r="E96" s="293"/>
    </row>
    <row r="97" spans="1:5">
      <c r="C97" s="155"/>
      <c r="E97" s="8"/>
    </row>
    <row r="98" spans="1:5">
      <c r="A98" s="269"/>
      <c r="E98" s="293"/>
    </row>
    <row r="99" spans="1:5">
      <c r="C99" s="155"/>
      <c r="E99" s="8"/>
    </row>
    <row r="100" spans="1:5">
      <c r="A100" s="269"/>
      <c r="E100" s="293"/>
    </row>
    <row r="101" spans="1:5">
      <c r="C101" s="155"/>
      <c r="E101" s="8"/>
    </row>
    <row r="102" spans="1:5">
      <c r="A102" s="269"/>
      <c r="E102" s="293"/>
    </row>
    <row r="103" spans="1:5">
      <c r="C103" s="155"/>
      <c r="E103" s="8"/>
    </row>
    <row r="104" spans="1:5">
      <c r="A104" s="269"/>
      <c r="E104" s="293"/>
    </row>
    <row r="105" spans="1:5">
      <c r="C105" s="155"/>
      <c r="E105" s="8"/>
    </row>
    <row r="106" spans="1:5">
      <c r="A106" s="269"/>
      <c r="E106" s="293"/>
    </row>
    <row r="107" spans="1:5">
      <c r="C107" s="155"/>
      <c r="E107" s="8"/>
    </row>
    <row r="108" spans="1:5">
      <c r="A108" s="269"/>
      <c r="E108" s="293"/>
    </row>
    <row r="109" spans="1:5">
      <c r="C109" s="155"/>
      <c r="E109" s="8"/>
    </row>
    <row r="110" spans="1:5">
      <c r="A110" s="269"/>
      <c r="E110" s="293"/>
    </row>
    <row r="111" spans="1:5">
      <c r="C111" s="155"/>
      <c r="E111" s="8"/>
    </row>
    <row r="112" spans="1:5">
      <c r="A112" s="269"/>
      <c r="E112" s="293"/>
    </row>
    <row r="113" spans="1:5">
      <c r="C113" s="155"/>
      <c r="E113" s="8"/>
    </row>
    <row r="114" spans="1:5">
      <c r="A114" s="269"/>
      <c r="E114" s="293"/>
    </row>
    <row r="115" spans="1:5">
      <c r="C115" s="155"/>
      <c r="E115" s="8"/>
    </row>
    <row r="116" spans="1:5">
      <c r="A116" s="269"/>
      <c r="E116" s="293"/>
    </row>
    <row r="117" spans="1:5">
      <c r="C117" s="155"/>
      <c r="E117" s="8"/>
    </row>
    <row r="118" spans="1:5">
      <c r="A118" s="269"/>
      <c r="E118" s="293"/>
    </row>
    <row r="119" spans="1:5">
      <c r="C119" s="155"/>
      <c r="E119" s="8"/>
    </row>
    <row r="120" spans="1:5">
      <c r="A120" s="269"/>
      <c r="E120" s="293"/>
    </row>
    <row r="121" spans="1:5">
      <c r="C121" s="155"/>
      <c r="E121" s="8"/>
    </row>
    <row r="122" spans="1:5">
      <c r="A122" s="269"/>
      <c r="E122" s="293"/>
    </row>
    <row r="123" spans="1:5">
      <c r="C123" s="155"/>
      <c r="E123" s="8"/>
    </row>
    <row r="124" spans="1:5">
      <c r="A124" s="269"/>
      <c r="E124" s="293"/>
    </row>
    <row r="125" spans="1:5">
      <c r="C125" s="155"/>
      <c r="E125" s="8"/>
    </row>
    <row r="126" spans="1:5">
      <c r="A126" s="269"/>
      <c r="E126" s="293"/>
    </row>
    <row r="127" spans="1:5">
      <c r="C127" s="155"/>
      <c r="E127" s="8"/>
    </row>
    <row r="128" spans="1:5">
      <c r="A128" s="269"/>
      <c r="E128" s="293"/>
    </row>
    <row r="129" spans="1:5">
      <c r="C129" s="155"/>
      <c r="E129" s="8"/>
    </row>
    <row r="130" spans="1:5">
      <c r="A130" s="269"/>
      <c r="E130" s="293"/>
    </row>
    <row r="131" spans="1:5">
      <c r="C131" s="155"/>
      <c r="E131" s="8"/>
    </row>
    <row r="132" spans="1:5">
      <c r="A132" s="269"/>
      <c r="E132" s="293"/>
    </row>
    <row r="133" spans="1:5">
      <c r="C133" s="155"/>
      <c r="E133" s="8"/>
    </row>
    <row r="134" spans="1:5">
      <c r="A134" s="269"/>
      <c r="E134" s="293"/>
    </row>
    <row r="135" spans="1:5">
      <c r="C135" s="155"/>
      <c r="E135" s="8"/>
    </row>
    <row r="136" spans="1:5">
      <c r="A136" s="269"/>
      <c r="E136" s="293"/>
    </row>
    <row r="137" spans="1:5">
      <c r="C137" s="155"/>
      <c r="E137" s="8"/>
    </row>
    <row r="138" spans="1:5">
      <c r="A138" s="269"/>
      <c r="E138" s="293"/>
    </row>
    <row r="139" spans="1:5">
      <c r="C139" s="155"/>
      <c r="E139" s="8"/>
    </row>
    <row r="140" spans="1:5">
      <c r="A140" s="269"/>
      <c r="E140" s="293"/>
    </row>
    <row r="141" spans="1:5">
      <c r="C141" s="155"/>
      <c r="E141" s="8"/>
    </row>
    <row r="142" spans="1:5">
      <c r="A142" s="269"/>
      <c r="E142" s="293"/>
    </row>
    <row r="143" spans="1:5">
      <c r="C143" s="155"/>
      <c r="E143" s="8"/>
    </row>
    <row r="144" spans="1:5">
      <c r="A144" s="269"/>
      <c r="E144" s="155"/>
    </row>
    <row r="145" spans="1:5">
      <c r="C145" s="155"/>
    </row>
    <row r="146" spans="1:5">
      <c r="A146" s="269"/>
      <c r="E146" s="155"/>
    </row>
    <row r="147" spans="1:5">
      <c r="C147" s="155"/>
    </row>
    <row r="148" spans="1:5">
      <c r="A148" s="269"/>
      <c r="E148" s="155"/>
    </row>
    <row r="149" spans="1:5">
      <c r="C149" s="155"/>
    </row>
    <row r="150" spans="1:5">
      <c r="A150" s="269"/>
      <c r="E150" s="155"/>
    </row>
    <row r="151" spans="1:5">
      <c r="C151" s="155"/>
    </row>
    <row r="152" spans="1:5">
      <c r="A152" s="269"/>
      <c r="E152" s="155"/>
    </row>
    <row r="153" spans="1:5">
      <c r="C153" s="155"/>
    </row>
    <row r="154" spans="1:5">
      <c r="A154" s="269"/>
      <c r="E154" s="155"/>
    </row>
    <row r="155" spans="1:5">
      <c r="C155" s="155"/>
    </row>
    <row r="156" spans="1:5">
      <c r="A156" s="269"/>
      <c r="E156" s="155"/>
    </row>
    <row r="157" spans="1:5">
      <c r="C157" s="155"/>
    </row>
    <row r="158" spans="1:5">
      <c r="A158" s="269"/>
      <c r="E158" s="155"/>
    </row>
    <row r="159" spans="1:5">
      <c r="C159" s="155"/>
    </row>
    <row r="160" spans="1:5">
      <c r="A160" s="269"/>
      <c r="E160" s="155"/>
    </row>
    <row r="161" spans="1:5">
      <c r="C161" s="155"/>
    </row>
    <row r="162" spans="1:5">
      <c r="A162" s="269"/>
      <c r="E162" s="155"/>
    </row>
    <row r="163" spans="1:5">
      <c r="C163" s="155"/>
    </row>
    <row r="164" spans="1:5">
      <c r="A164" s="269"/>
      <c r="E164" s="155"/>
    </row>
    <row r="165" spans="1:5">
      <c r="C165" s="155"/>
    </row>
    <row r="166" spans="1:5">
      <c r="A166" s="269"/>
      <c r="E166" s="155"/>
    </row>
    <row r="167" spans="1:5">
      <c r="C167" s="155"/>
    </row>
    <row r="168" spans="1:5">
      <c r="A168" s="269"/>
      <c r="E168" s="155"/>
    </row>
    <row r="169" spans="1:5">
      <c r="C169" s="155"/>
    </row>
    <row r="170" spans="1:5">
      <c r="A170" s="269"/>
      <c r="E170" s="155"/>
    </row>
    <row r="171" spans="1:5">
      <c r="C171" s="155"/>
    </row>
    <row r="172" spans="1:5">
      <c r="A172" s="269"/>
      <c r="E172" s="155"/>
    </row>
    <row r="173" spans="1:5">
      <c r="C173" s="155"/>
    </row>
    <row r="174" spans="1:5">
      <c r="A174" s="269"/>
      <c r="E174" s="155"/>
    </row>
    <row r="175" spans="1:5">
      <c r="C175" s="155"/>
    </row>
    <row r="176" spans="1:5">
      <c r="A176" s="269"/>
      <c r="E176" s="155"/>
    </row>
    <row r="177" spans="1:5">
      <c r="C177" s="155"/>
    </row>
    <row r="178" spans="1:5">
      <c r="A178" s="269"/>
      <c r="E178" s="155"/>
    </row>
    <row r="179" spans="1:5">
      <c r="C179" s="155"/>
    </row>
    <row r="180" spans="1:5">
      <c r="A180" s="269"/>
      <c r="E180" s="155"/>
    </row>
    <row r="181" spans="1:5">
      <c r="C181" s="155"/>
    </row>
    <row r="182" spans="1:5">
      <c r="A182" s="269"/>
      <c r="E182" s="155"/>
    </row>
    <row r="183" spans="1:5">
      <c r="C183" s="155"/>
    </row>
    <row r="184" spans="1:5">
      <c r="A184" s="269"/>
      <c r="E184" s="155"/>
    </row>
    <row r="185" spans="1:5">
      <c r="C185" s="155"/>
    </row>
    <row r="186" spans="1:5">
      <c r="A186" s="269"/>
      <c r="E186" s="155"/>
    </row>
    <row r="187" spans="1:5">
      <c r="C187" s="155"/>
    </row>
    <row r="188" spans="1:5">
      <c r="A188" s="269"/>
      <c r="E188" s="155"/>
    </row>
    <row r="189" spans="1:5">
      <c r="C189" s="155"/>
    </row>
    <row r="190" spans="1:5">
      <c r="A190" s="269"/>
      <c r="E190" s="155"/>
    </row>
    <row r="191" spans="1:5">
      <c r="C191" s="155"/>
    </row>
    <row r="192" spans="1:5">
      <c r="A192" s="269"/>
      <c r="E192" s="155"/>
    </row>
    <row r="193" spans="1:5">
      <c r="C193" s="155"/>
    </row>
    <row r="194" spans="1:5">
      <c r="A194" s="269"/>
      <c r="E194" s="155"/>
    </row>
    <row r="195" spans="1:5">
      <c r="C195" s="155"/>
    </row>
    <row r="196" spans="1:5">
      <c r="A196" s="269"/>
      <c r="E196" s="155"/>
    </row>
    <row r="197" spans="1:5">
      <c r="C197" s="155"/>
    </row>
    <row r="198" spans="1:5">
      <c r="A198" s="269"/>
      <c r="E198" s="155"/>
    </row>
    <row r="199" spans="1:5">
      <c r="C199" s="155"/>
    </row>
    <row r="200" spans="1:5">
      <c r="A200" s="269"/>
      <c r="E200" s="155"/>
    </row>
    <row r="201" spans="1:5">
      <c r="C201" s="155"/>
    </row>
    <row r="202" spans="1:5">
      <c r="A202" s="269"/>
      <c r="E202" s="155"/>
    </row>
    <row r="203" spans="1:5">
      <c r="D203" s="155"/>
    </row>
    <row r="204" spans="1:5">
      <c r="A204" s="269"/>
      <c r="E204" s="155"/>
    </row>
    <row r="205" spans="1:5">
      <c r="C205" s="155"/>
    </row>
    <row r="206" spans="1:5">
      <c r="A206" s="269"/>
      <c r="E206" s="155"/>
    </row>
    <row r="207" spans="1:5">
      <c r="C207" s="155"/>
    </row>
    <row r="208" spans="1:5">
      <c r="A208" s="269"/>
      <c r="E208" s="155"/>
    </row>
    <row r="209" spans="1:5">
      <c r="C209" s="155"/>
    </row>
    <row r="210" spans="1:5">
      <c r="A210" s="269"/>
      <c r="E210" s="155"/>
    </row>
    <row r="211" spans="1:5">
      <c r="C211" s="155"/>
    </row>
    <row r="212" spans="1:5">
      <c r="A212" s="269"/>
      <c r="E212" s="155"/>
    </row>
    <row r="213" spans="1:5">
      <c r="C213" s="155"/>
    </row>
    <row r="214" spans="1:5">
      <c r="A214" s="269"/>
    </row>
  </sheetData>
  <mergeCells count="16"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86B47-5660-4CD7-BC20-A8468005C596}">
  <dimension ref="B6:P59"/>
  <sheetViews>
    <sheetView showGridLines="0" topLeftCell="A6" workbookViewId="0">
      <selection activeCell="A6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79" customWidth="1"/>
    <col min="7" max="7" width="15.7265625" customWidth="1"/>
    <col min="8" max="8" width="19.7265625" customWidth="1"/>
    <col min="9" max="9" width="1.453125" customWidth="1"/>
    <col min="10" max="10" width="24.26953125" customWidth="1"/>
    <col min="11" max="11" width="22.26953125" bestFit="1" customWidth="1"/>
    <col min="12" max="12" width="20.26953125" bestFit="1" customWidth="1"/>
    <col min="13" max="13" width="16.269531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3" s="8" customFormat="1" ht="18">
      <c r="B6" s="5"/>
      <c r="C6" s="5"/>
      <c r="D6" s="5"/>
      <c r="E6" s="6" t="s">
        <v>0</v>
      </c>
      <c r="F6" s="7"/>
      <c r="G6" s="5"/>
      <c r="H6" s="5"/>
      <c r="I6" s="5"/>
      <c r="J6" s="5"/>
      <c r="K6" s="5"/>
    </row>
    <row r="7" spans="2:13">
      <c r="B7" s="1"/>
      <c r="C7" s="1"/>
      <c r="D7" s="1"/>
      <c r="E7" s="1"/>
      <c r="F7" s="2"/>
      <c r="G7" s="1"/>
      <c r="H7" s="1"/>
      <c r="I7" s="1"/>
      <c r="J7" s="1"/>
      <c r="K7" s="1"/>
    </row>
    <row r="8" spans="2:13">
      <c r="B8" s="1"/>
      <c r="C8" s="1"/>
      <c r="D8" s="1"/>
      <c r="E8" s="1"/>
      <c r="F8" s="2"/>
      <c r="G8" s="1"/>
      <c r="H8" s="1"/>
      <c r="I8" s="4"/>
      <c r="J8" s="1"/>
      <c r="K8" s="76"/>
    </row>
    <row r="9" spans="2:13">
      <c r="B9" s="1"/>
      <c r="C9" s="1"/>
      <c r="D9" s="1"/>
      <c r="E9" s="1"/>
      <c r="F9" s="2"/>
      <c r="G9" s="1"/>
      <c r="H9" s="1"/>
      <c r="I9" s="4"/>
      <c r="J9" s="1"/>
      <c r="K9" s="1"/>
    </row>
    <row r="10" spans="2:13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  <c r="L10" t="s">
        <v>96</v>
      </c>
    </row>
    <row r="11" spans="2:13" ht="15" thickBot="1">
      <c r="B11" s="1"/>
      <c r="C11" s="1"/>
      <c r="D11" s="1"/>
      <c r="E11" s="1"/>
      <c r="F11" s="2"/>
      <c r="G11" s="1"/>
      <c r="H11" s="1"/>
      <c r="I11" s="1"/>
      <c r="J11" s="1"/>
      <c r="K11" s="1"/>
    </row>
    <row r="12" spans="2:13" ht="18" thickBot="1">
      <c r="B12" s="331" t="s">
        <v>2</v>
      </c>
      <c r="C12" s="332"/>
      <c r="D12" s="332"/>
      <c r="E12" s="333"/>
      <c r="F12" s="12"/>
      <c r="G12" s="1"/>
      <c r="H12" s="1"/>
      <c r="I12" s="1"/>
      <c r="J12" s="1"/>
      <c r="K12" s="1"/>
      <c r="L12" s="13"/>
      <c r="M12" t="s">
        <v>20</v>
      </c>
    </row>
    <row r="13" spans="2:13" ht="18" thickBot="1">
      <c r="B13" s="1"/>
      <c r="C13" s="1"/>
      <c r="D13" s="1"/>
      <c r="E13" s="1"/>
      <c r="F13" s="123"/>
      <c r="G13" s="11"/>
      <c r="H13" s="11"/>
      <c r="I13" s="11"/>
      <c r="J13" s="15"/>
      <c r="K13" s="16"/>
      <c r="L13" s="13"/>
    </row>
    <row r="14" spans="2:13" ht="15" thickBot="1">
      <c r="B14" s="334" t="s">
        <v>3</v>
      </c>
      <c r="C14" s="335"/>
      <c r="D14" s="336"/>
      <c r="E14" s="17">
        <f>SUM(E15:E17)</f>
        <v>210473.51</v>
      </c>
      <c r="F14" s="107"/>
      <c r="G14" s="331" t="s">
        <v>4</v>
      </c>
      <c r="H14" s="332"/>
      <c r="I14" s="332"/>
      <c r="J14" s="332"/>
      <c r="K14" s="333"/>
      <c r="L14" s="19"/>
    </row>
    <row r="15" spans="2:13">
      <c r="B15" s="337" t="s">
        <v>5</v>
      </c>
      <c r="C15" s="338"/>
      <c r="D15" s="339"/>
      <c r="E15" s="20">
        <f>J16+J17+J18+J19</f>
        <v>71013.7</v>
      </c>
      <c r="F15" s="108">
        <f>E15+E16+E17</f>
        <v>210473.51</v>
      </c>
      <c r="G15" s="340" t="s">
        <v>6</v>
      </c>
      <c r="H15" s="341"/>
      <c r="I15" s="21"/>
      <c r="J15" s="342" t="s">
        <v>5</v>
      </c>
      <c r="K15" s="343"/>
      <c r="L15" s="13"/>
    </row>
    <row r="16" spans="2:13">
      <c r="B16" s="349" t="s">
        <v>7</v>
      </c>
      <c r="C16" s="350"/>
      <c r="D16" s="351"/>
      <c r="E16" s="20">
        <f>G21+G22</f>
        <v>23301.15</v>
      </c>
      <c r="F16" s="108">
        <v>90000</v>
      </c>
      <c r="G16" s="22">
        <v>10468.790000000001</v>
      </c>
      <c r="H16" s="23" t="s">
        <v>8</v>
      </c>
      <c r="I16" s="24"/>
      <c r="J16" s="25">
        <v>11939.62</v>
      </c>
      <c r="K16" s="26" t="s">
        <v>9</v>
      </c>
      <c r="L16" s="13"/>
    </row>
    <row r="17" spans="2:14">
      <c r="B17" s="352" t="s">
        <v>6</v>
      </c>
      <c r="C17" s="353"/>
      <c r="D17" s="354"/>
      <c r="E17" s="28">
        <f>G16+G17+G18</f>
        <v>116158.66</v>
      </c>
      <c r="F17" s="108">
        <f>F15-F16</f>
        <v>120473.51000000001</v>
      </c>
      <c r="G17" s="22">
        <v>46623.59</v>
      </c>
      <c r="H17" s="29" t="s">
        <v>10</v>
      </c>
      <c r="I17" s="30"/>
      <c r="J17" s="25">
        <v>13408.92</v>
      </c>
      <c r="K17" s="31" t="s">
        <v>10</v>
      </c>
      <c r="L17" s="13"/>
    </row>
    <row r="18" spans="2:14">
      <c r="B18" s="355" t="s">
        <v>11</v>
      </c>
      <c r="C18" s="356"/>
      <c r="D18" s="357"/>
      <c r="E18" s="20">
        <f>G28+G30+G29+G27</f>
        <v>5693.66</v>
      </c>
      <c r="F18" s="109"/>
      <c r="G18" s="22">
        <v>59066.28</v>
      </c>
      <c r="H18" s="29" t="s">
        <v>12</v>
      </c>
      <c r="I18" s="30"/>
      <c r="J18" s="25">
        <v>32465.9</v>
      </c>
      <c r="K18" s="31" t="s">
        <v>12</v>
      </c>
      <c r="L18" s="32"/>
    </row>
    <row r="19" spans="2:14">
      <c r="B19" s="344" t="s">
        <v>13</v>
      </c>
      <c r="C19" s="345"/>
      <c r="D19" s="346"/>
      <c r="E19" s="20">
        <v>13763105.630000001</v>
      </c>
      <c r="F19" s="108"/>
      <c r="G19" s="33"/>
      <c r="H19" s="34"/>
      <c r="I19" s="30"/>
      <c r="J19" s="25">
        <v>13199.26</v>
      </c>
      <c r="K19" s="31" t="s">
        <v>14</v>
      </c>
      <c r="L19" s="13"/>
    </row>
    <row r="20" spans="2:14">
      <c r="B20" s="358" t="s">
        <v>15</v>
      </c>
      <c r="C20" s="359"/>
      <c r="D20" s="360"/>
      <c r="E20" s="35">
        <f>SUM(E21:E23)</f>
        <v>0</v>
      </c>
      <c r="F20" s="14"/>
      <c r="G20" s="361" t="s">
        <v>16</v>
      </c>
      <c r="H20" s="362"/>
      <c r="I20" s="36"/>
      <c r="J20" s="37"/>
      <c r="K20" s="38"/>
      <c r="L20" s="39"/>
    </row>
    <row r="21" spans="2:14">
      <c r="B21" s="40"/>
      <c r="C21" s="41"/>
      <c r="D21" s="122"/>
      <c r="E21" s="43">
        <v>0</v>
      </c>
      <c r="F21" s="14"/>
      <c r="G21" s="44">
        <v>8871.76</v>
      </c>
      <c r="H21" s="29" t="s">
        <v>10</v>
      </c>
      <c r="I21" s="30"/>
      <c r="J21" s="37"/>
      <c r="K21" s="45"/>
      <c r="L21" s="39"/>
    </row>
    <row r="22" spans="2:14">
      <c r="B22" s="40"/>
      <c r="C22" s="41"/>
      <c r="D22" s="122"/>
      <c r="E22" s="43">
        <v>0</v>
      </c>
      <c r="F22" s="14"/>
      <c r="G22" s="44">
        <v>14429.39</v>
      </c>
      <c r="H22" s="29" t="s">
        <v>18</v>
      </c>
      <c r="I22" s="30"/>
      <c r="J22" s="50"/>
      <c r="K22" s="38"/>
      <c r="L22" s="39"/>
    </row>
    <row r="23" spans="2:14" ht="15" thickBot="1">
      <c r="B23" s="40"/>
      <c r="C23" s="41"/>
      <c r="D23" s="122"/>
      <c r="E23" s="43">
        <v>0</v>
      </c>
      <c r="F23" s="14"/>
      <c r="G23" s="51"/>
      <c r="H23" s="34"/>
      <c r="I23" s="30"/>
      <c r="J23" s="52"/>
      <c r="K23" s="53"/>
      <c r="L23" s="39"/>
      <c r="N23" t="s">
        <v>20</v>
      </c>
    </row>
    <row r="24" spans="2:14" ht="15" thickBot="1">
      <c r="B24" s="46" t="s">
        <v>17</v>
      </c>
      <c r="C24" s="47"/>
      <c r="D24" s="48"/>
      <c r="E24" s="49">
        <v>5538.23</v>
      </c>
      <c r="F24" s="8"/>
      <c r="G24" s="331" t="s">
        <v>21</v>
      </c>
      <c r="H24" s="332"/>
      <c r="I24" s="332"/>
      <c r="J24" s="332"/>
      <c r="K24" s="333"/>
      <c r="L24" s="39"/>
    </row>
    <row r="25" spans="2:14">
      <c r="B25" s="366" t="s">
        <v>89</v>
      </c>
      <c r="C25" s="367"/>
      <c r="D25" s="368"/>
      <c r="E25" s="49">
        <v>0</v>
      </c>
      <c r="F25" s="8"/>
      <c r="G25" s="54"/>
      <c r="H25" s="55"/>
      <c r="I25" s="56"/>
      <c r="J25" s="57"/>
      <c r="K25" s="58"/>
      <c r="L25" s="39"/>
    </row>
    <row r="26" spans="2:14">
      <c r="B26" s="344" t="s">
        <v>78</v>
      </c>
      <c r="C26" s="345"/>
      <c r="D26" s="346"/>
      <c r="E26" s="49">
        <v>0</v>
      </c>
      <c r="F26" s="8"/>
      <c r="G26" s="347" t="s">
        <v>5</v>
      </c>
      <c r="H26" s="348"/>
      <c r="I26" s="59"/>
      <c r="J26" s="60"/>
      <c r="K26" s="45"/>
      <c r="L26" s="61"/>
    </row>
    <row r="27" spans="2:14">
      <c r="B27" s="344" t="s">
        <v>22</v>
      </c>
      <c r="C27" s="345"/>
      <c r="D27" s="346"/>
      <c r="E27" s="49">
        <v>6694.2</v>
      </c>
      <c r="F27" s="14">
        <v>0</v>
      </c>
      <c r="G27" s="22">
        <f>11596.42-11500</f>
        <v>96.420000000000073</v>
      </c>
      <c r="H27" s="62" t="s">
        <v>9</v>
      </c>
      <c r="I27" s="59"/>
      <c r="J27" s="60"/>
      <c r="K27" s="45"/>
      <c r="L27" s="61"/>
    </row>
    <row r="28" spans="2:14">
      <c r="B28" s="344" t="s">
        <v>81</v>
      </c>
      <c r="C28" s="345"/>
      <c r="D28" s="346"/>
      <c r="E28" s="49">
        <v>0</v>
      </c>
      <c r="F28" s="14">
        <v>0</v>
      </c>
      <c r="G28" s="22">
        <v>2083.2199999999998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4">
      <c r="B29" s="344" t="s">
        <v>24</v>
      </c>
      <c r="C29" s="345"/>
      <c r="D29" s="346"/>
      <c r="E29" s="49">
        <v>0</v>
      </c>
      <c r="F29" s="14">
        <v>0</v>
      </c>
      <c r="G29" s="67">
        <v>1328.96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4" ht="15" thickBot="1">
      <c r="B30" s="344" t="s">
        <v>25</v>
      </c>
      <c r="C30" s="345"/>
      <c r="D30" s="346"/>
      <c r="E30" s="49">
        <v>0</v>
      </c>
      <c r="F30" s="14">
        <v>0</v>
      </c>
      <c r="G30" s="71">
        <v>2185.06</v>
      </c>
      <c r="H30" s="72" t="s">
        <v>12</v>
      </c>
      <c r="I30" s="73"/>
      <c r="J30" s="74" t="s">
        <v>32</v>
      </c>
      <c r="K30" s="75" t="s">
        <v>33</v>
      </c>
      <c r="L30" s="61"/>
    </row>
    <row r="31" spans="2:14" ht="15" thickBot="1">
      <c r="B31" s="363" t="s">
        <v>29</v>
      </c>
      <c r="C31" s="364"/>
      <c r="D31" s="365"/>
      <c r="E31" s="66">
        <v>0</v>
      </c>
      <c r="F31" s="124">
        <f>SUM(F27:F30)</f>
        <v>0</v>
      </c>
      <c r="G31" s="76"/>
      <c r="H31" s="76"/>
      <c r="I31" s="76"/>
      <c r="J31" s="76"/>
      <c r="K31" s="1"/>
      <c r="L31" s="77"/>
    </row>
    <row r="35" spans="5:6">
      <c r="E35" s="110" t="s">
        <v>86</v>
      </c>
      <c r="F35" s="110"/>
    </row>
    <row r="36" spans="5:6">
      <c r="E36" s="110"/>
      <c r="F36" s="110"/>
    </row>
    <row r="37" spans="5:6">
      <c r="E37" s="82" t="s">
        <v>34</v>
      </c>
      <c r="F37" s="86">
        <f>F17</f>
        <v>120473.51000000001</v>
      </c>
    </row>
    <row r="38" spans="5:6" s="61" customFormat="1" ht="15" customHeight="1">
      <c r="E38" s="82" t="s">
        <v>35</v>
      </c>
      <c r="F38" s="86">
        <f>+F31</f>
        <v>0</v>
      </c>
    </row>
    <row r="39" spans="5:6" s="61" customFormat="1" ht="15" customHeight="1">
      <c r="E39" s="82" t="s">
        <v>36</v>
      </c>
      <c r="F39" s="86">
        <v>0</v>
      </c>
    </row>
    <row r="40" spans="5:6" s="61" customFormat="1" ht="15" customHeight="1">
      <c r="E40" s="82" t="s">
        <v>37</v>
      </c>
      <c r="F40" s="86">
        <v>0</v>
      </c>
    </row>
    <row r="41" spans="5:6" s="61" customFormat="1" ht="15" customHeight="1">
      <c r="E41" s="112" t="s">
        <v>38</v>
      </c>
      <c r="F41" s="111">
        <f>SUM(F37:F40)</f>
        <v>120473.51000000001</v>
      </c>
    </row>
    <row r="42" spans="5:6" s="61" customFormat="1" ht="15" customHeight="1">
      <c r="E42" s="113"/>
      <c r="F42" s="94"/>
    </row>
    <row r="43" spans="5:6" s="61" customFormat="1" ht="15" customHeight="1">
      <c r="E43" s="114" t="s">
        <v>95</v>
      </c>
      <c r="F43" s="94">
        <v>75000</v>
      </c>
    </row>
    <row r="44" spans="5:6" s="61" customFormat="1" ht="15" customHeight="1">
      <c r="E44" s="116" t="s">
        <v>24</v>
      </c>
      <c r="F44" s="117">
        <v>0</v>
      </c>
    </row>
    <row r="45" spans="5:6" s="61" customFormat="1" ht="15" customHeight="1">
      <c r="E45" s="116" t="s">
        <v>39</v>
      </c>
      <c r="F45" s="117">
        <v>2000</v>
      </c>
    </row>
    <row r="46" spans="5:6" s="61" customFormat="1" ht="15" customHeight="1">
      <c r="E46" s="116" t="s">
        <v>22</v>
      </c>
      <c r="F46" s="117">
        <v>20000</v>
      </c>
    </row>
    <row r="47" spans="5:6" s="61" customFormat="1" ht="15" customHeight="1">
      <c r="E47" s="116" t="s">
        <v>69</v>
      </c>
      <c r="F47" s="117">
        <v>0</v>
      </c>
    </row>
    <row r="48" spans="5:6" s="61" customFormat="1" ht="15" customHeight="1">
      <c r="E48" s="116" t="s">
        <v>81</v>
      </c>
      <c r="F48" s="117">
        <v>0</v>
      </c>
    </row>
    <row r="49" spans="5:6" s="61" customFormat="1" ht="15" customHeight="1">
      <c r="E49" s="116" t="s">
        <v>80</v>
      </c>
      <c r="F49" s="117">
        <v>0</v>
      </c>
    </row>
    <row r="50" spans="5:6" s="61" customFormat="1" ht="15" customHeight="1">
      <c r="E50" s="116" t="s">
        <v>40</v>
      </c>
      <c r="F50" s="94">
        <v>70000</v>
      </c>
    </row>
    <row r="51" spans="5:6" s="61" customFormat="1" ht="15" customHeight="1">
      <c r="E51" s="118" t="s">
        <v>41</v>
      </c>
      <c r="F51" s="119">
        <f>SUM(F43:F50)</f>
        <v>167000</v>
      </c>
    </row>
    <row r="52" spans="5:6" s="61" customFormat="1" ht="15" customHeight="1">
      <c r="E52" s="118" t="s">
        <v>42</v>
      </c>
      <c r="F52" s="119">
        <f>F41-F51</f>
        <v>-46526.489999999991</v>
      </c>
    </row>
    <row r="53" spans="5:6" s="61" customFormat="1">
      <c r="E53" s="82"/>
      <c r="F53" s="82"/>
    </row>
    <row r="54" spans="5:6" s="61" customFormat="1">
      <c r="E54" s="82" t="s">
        <v>43</v>
      </c>
      <c r="F54" s="80">
        <f>43800+180000</f>
        <v>223800</v>
      </c>
    </row>
    <row r="55" spans="5:6" s="61" customFormat="1">
      <c r="E55" s="82" t="s">
        <v>44</v>
      </c>
      <c r="F55" s="80">
        <f>100000+350000</f>
        <v>450000</v>
      </c>
    </row>
    <row r="56" spans="5:6" s="61" customFormat="1">
      <c r="E56" s="82" t="s">
        <v>91</v>
      </c>
      <c r="F56" s="117">
        <f>+E31</f>
        <v>0</v>
      </c>
    </row>
    <row r="57" spans="5:6" s="61" customFormat="1">
      <c r="E57" s="118" t="s">
        <v>46</v>
      </c>
      <c r="F57" s="120">
        <f>SUM(F54:F56)</f>
        <v>673800</v>
      </c>
    </row>
    <row r="58" spans="5:6" s="61" customFormat="1">
      <c r="E58" s="82"/>
      <c r="F58" s="82"/>
    </row>
    <row r="59" spans="5:6" s="61" customFormat="1">
      <c r="E59" s="118" t="s">
        <v>47</v>
      </c>
      <c r="F59" s="121">
        <f>F52-F57</f>
        <v>-720326.49</v>
      </c>
    </row>
  </sheetData>
  <mergeCells count="22">
    <mergeCell ref="B29:D29"/>
    <mergeCell ref="B30:D30"/>
    <mergeCell ref="B31:D31"/>
    <mergeCell ref="G24:K24"/>
    <mergeCell ref="B25:D25"/>
    <mergeCell ref="B26:D26"/>
    <mergeCell ref="G26:H26"/>
    <mergeCell ref="B27:D27"/>
    <mergeCell ref="B28:D28"/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</mergeCells>
  <pageMargins left="0.7" right="0.7" top="0.75" bottom="0.75" header="0.3" footer="0.3"/>
  <drawing r:id="rId1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2F5D1-9EAD-437B-B3A8-6E4A3A7A9F61}">
  <sheetPr>
    <pageSetUpPr fitToPage="1"/>
  </sheetPr>
  <dimension ref="A1:O214"/>
  <sheetViews>
    <sheetView showGridLines="0" tabSelected="1" zoomScale="55" zoomScaleNormal="55" workbookViewId="0">
      <selection activeCell="C1" sqref="C1:I4"/>
    </sheetView>
  </sheetViews>
  <sheetFormatPr baseColWidth="10" defaultRowHeight="14.5"/>
  <cols>
    <col min="2" max="2" width="16.54296875" customWidth="1"/>
    <col min="4" max="4" width="22" customWidth="1"/>
    <col min="5" max="5" width="29.26953125" bestFit="1" customWidth="1"/>
    <col min="6" max="6" width="18.81640625" style="220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style="61" bestFit="1" customWidth="1"/>
    <col min="13" max="13" width="14" style="61" customWidth="1"/>
  </cols>
  <sheetData>
    <row r="1" spans="1:15" ht="22.5" customHeight="1">
      <c r="A1" s="391" t="e" vm="1">
        <v>#VALUE!</v>
      </c>
      <c r="B1" s="391"/>
      <c r="C1" s="392" t="s">
        <v>423</v>
      </c>
      <c r="D1" s="392"/>
      <c r="E1" s="392"/>
      <c r="F1" s="392"/>
      <c r="G1" s="392"/>
      <c r="H1" s="392"/>
      <c r="I1" s="392"/>
      <c r="J1" s="395"/>
      <c r="K1" s="395"/>
    </row>
    <row r="2" spans="1:15" ht="24" customHeight="1">
      <c r="A2" s="391"/>
      <c r="B2" s="391"/>
      <c r="C2" s="392"/>
      <c r="D2" s="392"/>
      <c r="E2" s="392"/>
      <c r="F2" s="392"/>
      <c r="G2" s="392"/>
      <c r="H2" s="392"/>
      <c r="I2" s="392"/>
      <c r="J2" s="396"/>
      <c r="K2" s="396"/>
    </row>
    <row r="3" spans="1:15">
      <c r="A3" s="391"/>
      <c r="B3" s="391"/>
      <c r="C3" s="392"/>
      <c r="D3" s="392"/>
      <c r="E3" s="392"/>
      <c r="F3" s="392"/>
      <c r="G3" s="392"/>
      <c r="H3" s="392"/>
      <c r="I3" s="392"/>
      <c r="J3" s="393" t="s">
        <v>426</v>
      </c>
      <c r="K3" s="394"/>
    </row>
    <row r="4" spans="1:15">
      <c r="A4" s="391"/>
      <c r="B4" s="391"/>
      <c r="C4" s="392"/>
      <c r="D4" s="392"/>
      <c r="E4" s="392"/>
      <c r="F4" s="392"/>
      <c r="G4" s="392"/>
      <c r="H4" s="392"/>
      <c r="I4" s="392"/>
      <c r="J4" s="393" t="s">
        <v>425</v>
      </c>
      <c r="K4" s="394"/>
    </row>
    <row r="6" spans="1:15" s="8" customFormat="1" ht="18">
      <c r="A6" s="5" t="s">
        <v>20</v>
      </c>
      <c r="B6" s="5"/>
      <c r="C6" s="5"/>
      <c r="D6" s="5"/>
      <c r="E6" s="6" t="s">
        <v>0</v>
      </c>
      <c r="F6" s="322"/>
      <c r="G6" s="5"/>
      <c r="H6" s="5"/>
      <c r="I6" s="5"/>
      <c r="J6" s="209"/>
      <c r="K6" s="5"/>
      <c r="L6" s="61"/>
      <c r="M6" s="61"/>
    </row>
    <row r="7" spans="1:15">
      <c r="A7" s="1"/>
      <c r="B7" s="1"/>
      <c r="C7" s="1"/>
      <c r="D7" s="1"/>
      <c r="E7" s="1"/>
      <c r="F7" s="153"/>
      <c r="G7" s="1"/>
      <c r="H7" s="1"/>
      <c r="I7" s="1"/>
      <c r="J7" s="76"/>
      <c r="K7" s="1"/>
      <c r="L7" s="61" t="s">
        <v>20</v>
      </c>
    </row>
    <row r="8" spans="1:15">
      <c r="A8" s="1"/>
      <c r="B8" s="1"/>
      <c r="C8" s="1"/>
      <c r="D8" s="1"/>
      <c r="E8" s="1"/>
      <c r="F8" s="153"/>
      <c r="G8" s="1"/>
      <c r="H8" s="1"/>
      <c r="I8" s="4"/>
      <c r="J8" s="76"/>
      <c r="K8" s="76"/>
    </row>
    <row r="9" spans="1:15">
      <c r="A9" s="1"/>
      <c r="B9" s="1"/>
      <c r="C9" s="1"/>
      <c r="D9" s="1"/>
      <c r="E9" s="1"/>
      <c r="F9" s="153" t="s">
        <v>358</v>
      </c>
      <c r="G9" s="1"/>
      <c r="H9" s="1"/>
      <c r="I9" s="4"/>
      <c r="J9" s="76"/>
      <c r="K9" s="1"/>
    </row>
    <row r="10" spans="1:15" ht="18.5">
      <c r="A10" s="1"/>
      <c r="B10" s="1"/>
      <c r="C10" s="1"/>
      <c r="D10" s="1"/>
      <c r="E10" s="327" t="s">
        <v>424</v>
      </c>
      <c r="F10" s="10">
        <f ca="1">TODAY()</f>
        <v>45831</v>
      </c>
      <c r="G10" s="296"/>
      <c r="H10" s="1"/>
      <c r="I10" s="1"/>
      <c r="J10" s="76"/>
      <c r="K10" s="1"/>
    </row>
    <row r="11" spans="1:15" ht="19" thickBot="1">
      <c r="A11" s="1"/>
      <c r="B11" s="1"/>
      <c r="C11" s="1"/>
      <c r="D11" s="1"/>
      <c r="E11" s="295"/>
      <c r="F11" s="309"/>
      <c r="G11" s="296"/>
      <c r="H11" s="1"/>
      <c r="I11" s="1"/>
      <c r="J11" s="76"/>
      <c r="K11" s="1"/>
    </row>
    <row r="12" spans="1:15" ht="19" thickBot="1">
      <c r="A12" s="1"/>
      <c r="B12" s="331" t="s">
        <v>2</v>
      </c>
      <c r="C12" s="332"/>
      <c r="D12" s="332"/>
      <c r="E12" s="333"/>
      <c r="F12" s="309"/>
      <c r="G12" s="296"/>
      <c r="H12" s="1"/>
      <c r="I12" s="1"/>
      <c r="J12" s="76"/>
      <c r="K12" s="1"/>
    </row>
    <row r="13" spans="1:15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M13" s="61" t="s">
        <v>20</v>
      </c>
    </row>
    <row r="14" spans="1:15" ht="18" thickBot="1">
      <c r="A14" s="11"/>
      <c r="B14" s="334" t="s">
        <v>3</v>
      </c>
      <c r="C14" s="335"/>
      <c r="D14" s="336"/>
      <c r="E14" s="17">
        <v>1</v>
      </c>
      <c r="F14" s="264"/>
      <c r="G14" s="331" t="s">
        <v>4</v>
      </c>
      <c r="H14" s="332"/>
      <c r="I14" s="332"/>
      <c r="J14" s="332"/>
      <c r="K14" s="333"/>
      <c r="L14" s="13"/>
      <c r="N14" s="79"/>
      <c r="O14" s="79"/>
    </row>
    <row r="15" spans="1:15">
      <c r="A15" s="1"/>
      <c r="B15" s="337" t="s">
        <v>5</v>
      </c>
      <c r="C15" s="338"/>
      <c r="D15" s="339"/>
      <c r="E15" s="20">
        <v>1</v>
      </c>
      <c r="F15" s="153"/>
      <c r="G15" s="340" t="s">
        <v>6</v>
      </c>
      <c r="H15" s="341"/>
      <c r="I15" s="21"/>
      <c r="J15" s="342" t="s">
        <v>5</v>
      </c>
      <c r="K15" s="343"/>
      <c r="L15" s="13"/>
      <c r="N15" s="79"/>
      <c r="O15" s="79"/>
    </row>
    <row r="16" spans="1:15">
      <c r="A16" s="1"/>
      <c r="B16" s="349" t="s">
        <v>7</v>
      </c>
      <c r="C16" s="350"/>
      <c r="D16" s="351"/>
      <c r="E16" s="20">
        <v>1</v>
      </c>
      <c r="F16" s="153"/>
      <c r="G16" s="22">
        <v>1</v>
      </c>
      <c r="H16" s="23" t="s">
        <v>8</v>
      </c>
      <c r="I16" s="24"/>
      <c r="J16" s="25">
        <v>1</v>
      </c>
      <c r="K16" s="26" t="s">
        <v>9</v>
      </c>
      <c r="L16" s="19"/>
      <c r="N16" s="79"/>
      <c r="O16" s="79"/>
    </row>
    <row r="17" spans="1:15">
      <c r="A17" s="1"/>
      <c r="B17" s="352" t="s">
        <v>6</v>
      </c>
      <c r="C17" s="353"/>
      <c r="D17" s="354"/>
      <c r="E17" s="28">
        <v>1</v>
      </c>
      <c r="F17" s="153">
        <f>E15+E16+E17</f>
        <v>3</v>
      </c>
      <c r="G17" s="22">
        <v>1</v>
      </c>
      <c r="H17" s="29" t="s">
        <v>10</v>
      </c>
      <c r="I17" s="30"/>
      <c r="J17" s="25">
        <v>1</v>
      </c>
      <c r="K17" s="31" t="s">
        <v>10</v>
      </c>
      <c r="L17" s="13"/>
      <c r="N17" s="79"/>
      <c r="O17" s="79"/>
    </row>
    <row r="18" spans="1:15">
      <c r="A18" s="1"/>
      <c r="B18" s="236" t="s">
        <v>187</v>
      </c>
      <c r="C18" s="237"/>
      <c r="D18" s="238"/>
      <c r="E18" s="28">
        <v>1</v>
      </c>
      <c r="F18" s="153">
        <v>90000</v>
      </c>
      <c r="G18" s="22">
        <v>1</v>
      </c>
      <c r="H18" s="29" t="s">
        <v>12</v>
      </c>
      <c r="I18" s="30"/>
      <c r="J18" s="25">
        <v>1</v>
      </c>
      <c r="K18" s="31" t="s">
        <v>12</v>
      </c>
      <c r="L18" s="9"/>
      <c r="N18" s="79"/>
      <c r="O18" s="79"/>
    </row>
    <row r="19" spans="1:15">
      <c r="B19" s="379" t="s">
        <v>11</v>
      </c>
      <c r="C19" s="380"/>
      <c r="D19" s="381"/>
      <c r="E19" s="20">
        <v>1</v>
      </c>
      <c r="F19" s="153">
        <f>+F17-F18</f>
        <v>-89997</v>
      </c>
      <c r="G19" s="33"/>
      <c r="H19" s="34"/>
      <c r="I19" s="30"/>
      <c r="J19" s="25">
        <v>1</v>
      </c>
      <c r="K19" s="31" t="s">
        <v>14</v>
      </c>
      <c r="L19" s="8"/>
      <c r="M19" s="8"/>
      <c r="N19" s="79"/>
      <c r="O19" s="79"/>
    </row>
    <row r="20" spans="1:15">
      <c r="B20" s="344" t="s">
        <v>13</v>
      </c>
      <c r="C20" s="345"/>
      <c r="D20" s="346"/>
      <c r="E20" s="20">
        <v>1</v>
      </c>
      <c r="F20" s="153"/>
      <c r="G20" s="239"/>
      <c r="H20" s="240"/>
      <c r="I20" s="30"/>
      <c r="J20" s="25"/>
      <c r="K20" s="31"/>
      <c r="L20" s="124"/>
      <c r="M20" s="8" t="s">
        <v>405</v>
      </c>
      <c r="N20" s="79"/>
      <c r="O20" s="79"/>
    </row>
    <row r="21" spans="1:15">
      <c r="B21" s="187" t="s">
        <v>15</v>
      </c>
      <c r="C21" s="188"/>
      <c r="D21" s="189"/>
      <c r="E21" s="190">
        <v>1</v>
      </c>
      <c r="F21" s="153"/>
      <c r="G21" s="361" t="s">
        <v>16</v>
      </c>
      <c r="H21" s="362"/>
      <c r="I21" s="36"/>
      <c r="J21" s="241" t="s">
        <v>187</v>
      </c>
      <c r="K21" s="242"/>
      <c r="L21" s="154"/>
      <c r="M21" s="8"/>
      <c r="N21" s="79"/>
      <c r="O21" s="79"/>
    </row>
    <row r="22" spans="1:15" ht="15" customHeight="1">
      <c r="B22" s="303"/>
      <c r="C22" s="304"/>
      <c r="D22" s="308"/>
      <c r="E22" s="190">
        <v>1</v>
      </c>
      <c r="F22" s="153"/>
      <c r="G22" s="44">
        <v>1</v>
      </c>
      <c r="H22" s="29" t="s">
        <v>10</v>
      </c>
      <c r="I22" s="30"/>
      <c r="J22" s="25">
        <v>1</v>
      </c>
      <c r="K22" s="31" t="s">
        <v>188</v>
      </c>
      <c r="L22" s="154"/>
      <c r="N22" s="79"/>
      <c r="O22" s="79"/>
    </row>
    <row r="23" spans="1:15" ht="15" customHeight="1">
      <c r="B23" s="325"/>
      <c r="C23" s="326"/>
      <c r="D23" s="308"/>
      <c r="E23" s="190">
        <v>1</v>
      </c>
      <c r="F23" s="153"/>
      <c r="G23" s="44">
        <v>1</v>
      </c>
      <c r="H23" s="29" t="s">
        <v>18</v>
      </c>
      <c r="I23" s="30"/>
      <c r="J23" s="25"/>
      <c r="K23" s="31"/>
      <c r="L23" s="154"/>
      <c r="N23" s="79"/>
      <c r="O23" s="79"/>
    </row>
    <row r="24" spans="1:15" ht="15" thickBot="1">
      <c r="B24" s="187"/>
      <c r="C24" s="188"/>
      <c r="D24" s="308"/>
      <c r="E24" s="190">
        <v>1</v>
      </c>
      <c r="F24" s="153"/>
      <c r="G24" s="51"/>
      <c r="H24" s="34"/>
      <c r="I24" s="30"/>
      <c r="J24" s="210"/>
      <c r="K24" s="53"/>
      <c r="L24" s="154"/>
      <c r="M24" s="311"/>
      <c r="N24" s="79"/>
      <c r="O24" s="79"/>
    </row>
    <row r="25" spans="1:15" ht="15" thickBot="1">
      <c r="B25" s="202" t="s">
        <v>17</v>
      </c>
      <c r="C25" s="203"/>
      <c r="D25" s="204"/>
      <c r="E25" s="234">
        <v>1</v>
      </c>
      <c r="G25" s="331" t="s">
        <v>21</v>
      </c>
      <c r="H25" s="332"/>
      <c r="I25" s="332"/>
      <c r="J25" s="332"/>
      <c r="K25" s="333"/>
      <c r="L25" s="8"/>
      <c r="N25" s="79"/>
      <c r="O25" s="79"/>
    </row>
    <row r="26" spans="1:15">
      <c r="B26" s="202" t="s">
        <v>163</v>
      </c>
      <c r="C26" s="203"/>
      <c r="D26" s="204"/>
      <c r="E26" s="234">
        <v>1</v>
      </c>
      <c r="F26" s="153">
        <f>+F19</f>
        <v>-89997</v>
      </c>
      <c r="G26" s="54"/>
      <c r="H26" s="55"/>
      <c r="I26" s="56"/>
      <c r="J26" s="211"/>
      <c r="K26" s="58"/>
      <c r="N26" s="79"/>
      <c r="O26" s="79"/>
    </row>
    <row r="27" spans="1:15">
      <c r="B27" s="199" t="s">
        <v>22</v>
      </c>
      <c r="C27" s="200"/>
      <c r="D27" s="201"/>
      <c r="E27" s="234">
        <v>1</v>
      </c>
      <c r="F27" s="288">
        <f>SUM(E25:E31)</f>
        <v>7</v>
      </c>
      <c r="G27" s="377" t="s">
        <v>5</v>
      </c>
      <c r="H27" s="378"/>
      <c r="I27" s="59"/>
      <c r="J27" s="60"/>
      <c r="K27" s="45"/>
      <c r="N27" s="79"/>
      <c r="O27" s="79"/>
    </row>
    <row r="28" spans="1:15">
      <c r="B28" s="199" t="s">
        <v>105</v>
      </c>
      <c r="C28" s="200"/>
      <c r="D28" s="201"/>
      <c r="E28" s="234">
        <v>1</v>
      </c>
      <c r="F28" s="153">
        <f>+F26-F27</f>
        <v>-90004</v>
      </c>
      <c r="G28" s="22">
        <v>1</v>
      </c>
      <c r="H28" s="62" t="s">
        <v>9</v>
      </c>
      <c r="I28" s="59"/>
      <c r="J28" s="60"/>
      <c r="K28" s="45"/>
      <c r="N28" s="155"/>
    </row>
    <row r="29" spans="1:15">
      <c r="B29" s="199" t="s">
        <v>24</v>
      </c>
      <c r="C29" s="200"/>
      <c r="D29" s="201"/>
      <c r="E29" s="49">
        <v>1</v>
      </c>
      <c r="F29" s="221"/>
      <c r="G29" s="22">
        <v>1</v>
      </c>
      <c r="H29" s="62" t="s">
        <v>26</v>
      </c>
      <c r="I29" s="63"/>
      <c r="J29" s="64"/>
      <c r="K29" s="65"/>
    </row>
    <row r="30" spans="1:15">
      <c r="B30" s="344" t="s">
        <v>69</v>
      </c>
      <c r="C30" s="345"/>
      <c r="D30" s="346"/>
      <c r="E30" s="234">
        <v>1</v>
      </c>
      <c r="G30" s="67">
        <v>1</v>
      </c>
      <c r="H30" s="68" t="s">
        <v>14</v>
      </c>
      <c r="I30" s="63"/>
      <c r="J30" s="64"/>
      <c r="K30" s="65"/>
      <c r="N30" s="155"/>
    </row>
    <row r="31" spans="1:15" ht="15" thickBot="1">
      <c r="B31" s="363" t="s">
        <v>29</v>
      </c>
      <c r="C31" s="364"/>
      <c r="D31" s="365"/>
      <c r="E31" s="66">
        <v>1</v>
      </c>
      <c r="G31" s="71">
        <v>1</v>
      </c>
      <c r="H31" s="72" t="s">
        <v>12</v>
      </c>
      <c r="I31" s="73"/>
      <c r="J31" s="74"/>
      <c r="K31" s="75"/>
    </row>
    <row r="32" spans="1:15">
      <c r="E32" s="61"/>
      <c r="N32" s="155"/>
    </row>
    <row r="33" spans="1:14">
      <c r="A33" s="61"/>
      <c r="B33" s="61"/>
      <c r="C33" s="61"/>
      <c r="D33" s="61"/>
      <c r="E33" s="61"/>
      <c r="F33" s="219"/>
      <c r="G33" s="61"/>
      <c r="H33" s="61"/>
      <c r="I33" s="61"/>
      <c r="J33" s="13"/>
      <c r="K33" s="61"/>
    </row>
    <row r="34" spans="1:14">
      <c r="A34" s="61"/>
      <c r="B34" s="61"/>
      <c r="C34" s="61"/>
      <c r="D34" s="61"/>
      <c r="E34" s="61"/>
      <c r="F34" s="219"/>
      <c r="G34" s="61"/>
      <c r="H34" s="61"/>
      <c r="I34" s="61"/>
      <c r="J34" s="39"/>
      <c r="K34" s="61"/>
      <c r="N34" s="155"/>
    </row>
    <row r="35" spans="1:14">
      <c r="A35" s="61"/>
      <c r="B35" s="61"/>
      <c r="C35" s="61"/>
      <c r="D35" s="61"/>
      <c r="E35" s="61"/>
      <c r="F35" s="219"/>
      <c r="G35" s="61"/>
      <c r="H35" s="61"/>
      <c r="I35" s="61"/>
      <c r="J35" s="39"/>
      <c r="K35" s="61"/>
    </row>
    <row r="36" spans="1:14" s="8" customFormat="1">
      <c r="E36" s="328">
        <v>45565</v>
      </c>
      <c r="F36" s="299"/>
      <c r="H36" s="9"/>
      <c r="J36" s="390" t="s">
        <v>422</v>
      </c>
      <c r="K36" s="390"/>
      <c r="N36" s="293"/>
    </row>
    <row r="37" spans="1:14" s="8" customFormat="1">
      <c r="E37" s="110"/>
      <c r="F37" s="299"/>
      <c r="G37" s="181"/>
      <c r="H37" s="181"/>
      <c r="I37" s="222"/>
      <c r="J37" s="110"/>
      <c r="K37" s="299"/>
    </row>
    <row r="38" spans="1:14" s="8" customFormat="1" ht="15" customHeight="1">
      <c r="E38" s="82" t="s">
        <v>34</v>
      </c>
      <c r="F38" s="299">
        <v>1</v>
      </c>
      <c r="G38" s="86"/>
      <c r="I38" s="222"/>
      <c r="J38" s="82" t="s">
        <v>34</v>
      </c>
      <c r="K38" s="299">
        <v>1</v>
      </c>
      <c r="L38" s="86"/>
      <c r="N38" s="293"/>
    </row>
    <row r="39" spans="1:14" s="8" customFormat="1" ht="15" customHeight="1">
      <c r="E39" s="82" t="s">
        <v>35</v>
      </c>
      <c r="F39" s="299">
        <f>+E19</f>
        <v>1</v>
      </c>
      <c r="G39" s="86"/>
      <c r="H39" s="181"/>
      <c r="I39" s="222"/>
      <c r="J39" s="82" t="s">
        <v>35</v>
      </c>
      <c r="K39" s="329">
        <v>1</v>
      </c>
      <c r="L39" s="181"/>
    </row>
    <row r="40" spans="1:14" s="8" customFormat="1" ht="15" customHeight="1">
      <c r="E40" s="82" t="s">
        <v>36</v>
      </c>
      <c r="F40" s="299">
        <v>0</v>
      </c>
      <c r="G40" s="86"/>
      <c r="I40" s="213"/>
      <c r="J40" s="82" t="s">
        <v>36</v>
      </c>
      <c r="K40" s="299">
        <v>1</v>
      </c>
      <c r="L40" s="181"/>
      <c r="N40" s="293"/>
    </row>
    <row r="41" spans="1:14" s="8" customFormat="1" ht="15" customHeight="1">
      <c r="E41" s="82" t="s">
        <v>37</v>
      </c>
      <c r="F41" s="299">
        <v>0</v>
      </c>
      <c r="G41" s="9"/>
      <c r="I41" s="222"/>
      <c r="J41" s="82" t="s">
        <v>37</v>
      </c>
      <c r="K41" s="299">
        <v>1</v>
      </c>
    </row>
    <row r="42" spans="1:14" s="8" customFormat="1" ht="15" customHeight="1">
      <c r="E42" s="112" t="s">
        <v>38</v>
      </c>
      <c r="F42" s="225">
        <f>+F38</f>
        <v>1</v>
      </c>
      <c r="G42" s="9"/>
      <c r="I42" s="222"/>
      <c r="J42" s="112" t="s">
        <v>38</v>
      </c>
      <c r="K42" s="225">
        <f>+K38</f>
        <v>1</v>
      </c>
      <c r="N42" s="293"/>
    </row>
    <row r="43" spans="1:14" s="8" customFormat="1" ht="15" customHeight="1">
      <c r="E43" s="113"/>
      <c r="F43" s="226"/>
      <c r="G43" s="9"/>
      <c r="H43" s="182"/>
      <c r="I43" s="223"/>
      <c r="J43" s="113"/>
      <c r="K43" s="226"/>
    </row>
    <row r="44" spans="1:14" s="8" customFormat="1" ht="15" customHeight="1">
      <c r="E44" s="113" t="s">
        <v>189</v>
      </c>
      <c r="F44" s="226">
        <v>1</v>
      </c>
      <c r="G44" s="9"/>
      <c r="H44" s="183"/>
      <c r="I44" s="224"/>
      <c r="J44" s="113" t="s">
        <v>189</v>
      </c>
      <c r="K44" s="226">
        <v>1</v>
      </c>
      <c r="N44" s="293"/>
    </row>
    <row r="45" spans="1:14" s="8" customFormat="1" ht="15" customHeight="1">
      <c r="E45" s="113" t="s">
        <v>419</v>
      </c>
      <c r="F45" s="226">
        <v>1</v>
      </c>
      <c r="G45" s="226"/>
      <c r="H45" s="183"/>
      <c r="I45" s="224"/>
      <c r="J45" s="113" t="s">
        <v>152</v>
      </c>
      <c r="K45" s="226">
        <v>1</v>
      </c>
      <c r="N45" s="293"/>
    </row>
    <row r="46" spans="1:14" s="8" customFormat="1" ht="15" customHeight="1">
      <c r="E46" s="113" t="s">
        <v>105</v>
      </c>
      <c r="F46" s="226">
        <v>1</v>
      </c>
      <c r="G46" s="226"/>
      <c r="H46" s="183"/>
      <c r="I46" s="224"/>
      <c r="J46" s="113" t="s">
        <v>419</v>
      </c>
      <c r="K46" s="226">
        <v>1</v>
      </c>
      <c r="N46" s="293"/>
    </row>
    <row r="47" spans="1:14" s="8" customFormat="1" ht="15" customHeight="1">
      <c r="E47" s="113" t="s">
        <v>69</v>
      </c>
      <c r="F47" s="226">
        <v>1</v>
      </c>
      <c r="G47" s="9"/>
      <c r="H47" s="183"/>
      <c r="I47" s="224"/>
      <c r="J47" s="113" t="s">
        <v>105</v>
      </c>
      <c r="K47" s="226">
        <v>1</v>
      </c>
      <c r="N47" s="293"/>
    </row>
    <row r="48" spans="1:14" s="8" customFormat="1" ht="15" customHeight="1">
      <c r="E48" s="116" t="s">
        <v>24</v>
      </c>
      <c r="F48" s="221">
        <v>1</v>
      </c>
      <c r="G48" s="9"/>
      <c r="H48" s="183"/>
      <c r="I48" s="224"/>
      <c r="J48" s="8" t="s">
        <v>116</v>
      </c>
      <c r="K48" s="154">
        <v>1</v>
      </c>
      <c r="N48" s="293"/>
    </row>
    <row r="49" spans="5:14" s="8" customFormat="1" ht="15" customHeight="1">
      <c r="E49" s="116" t="s">
        <v>22</v>
      </c>
      <c r="F49" s="221">
        <v>1</v>
      </c>
      <c r="G49" s="9"/>
      <c r="H49" s="183"/>
      <c r="I49" s="224"/>
      <c r="J49" s="113" t="s">
        <v>69</v>
      </c>
      <c r="K49" s="226">
        <v>1</v>
      </c>
      <c r="N49" s="293"/>
    </row>
    <row r="50" spans="5:14" s="8" customFormat="1" ht="15" customHeight="1">
      <c r="E50" s="116" t="s">
        <v>40</v>
      </c>
      <c r="F50" s="226">
        <v>1</v>
      </c>
      <c r="G50" s="9"/>
      <c r="H50" s="183"/>
      <c r="I50" s="224"/>
      <c r="J50" s="116" t="s">
        <v>24</v>
      </c>
      <c r="K50" s="221">
        <v>1</v>
      </c>
      <c r="N50" s="293"/>
    </row>
    <row r="51" spans="5:14" s="8" customFormat="1" ht="15" customHeight="1">
      <c r="E51" s="118" t="s">
        <v>41</v>
      </c>
      <c r="F51" s="225">
        <f>SUM(F44:F50)</f>
        <v>7</v>
      </c>
      <c r="G51" s="9"/>
      <c r="H51" s="183"/>
      <c r="I51" s="224"/>
      <c r="J51" s="116" t="s">
        <v>22</v>
      </c>
      <c r="K51" s="221">
        <v>1</v>
      </c>
      <c r="N51" s="293"/>
    </row>
    <row r="52" spans="5:14" s="8" customFormat="1" ht="15" customHeight="1">
      <c r="E52" s="118" t="s">
        <v>42</v>
      </c>
      <c r="F52" s="225">
        <f>F42-F51</f>
        <v>-6</v>
      </c>
      <c r="H52" s="116"/>
      <c r="I52" s="225"/>
      <c r="J52" s="116" t="s">
        <v>40</v>
      </c>
      <c r="K52" s="226">
        <v>1</v>
      </c>
    </row>
    <row r="53" spans="5:14" s="8" customFormat="1" ht="15" customHeight="1">
      <c r="E53" s="82"/>
      <c r="F53" s="80"/>
      <c r="H53" s="118"/>
      <c r="I53" s="225"/>
      <c r="J53" s="118" t="s">
        <v>41</v>
      </c>
      <c r="K53" s="225">
        <f>SUM(K44:K52)</f>
        <v>9</v>
      </c>
    </row>
    <row r="54" spans="5:14" s="8" customFormat="1">
      <c r="E54" s="82" t="s">
        <v>43</v>
      </c>
      <c r="F54" s="80">
        <v>1</v>
      </c>
      <c r="G54" s="82"/>
      <c r="H54" s="82"/>
      <c r="I54" s="221"/>
      <c r="J54" s="118" t="s">
        <v>42</v>
      </c>
      <c r="K54" s="225">
        <f>K42-K53</f>
        <v>-8</v>
      </c>
    </row>
    <row r="55" spans="5:14" s="8" customFormat="1">
      <c r="E55" s="82" t="s">
        <v>44</v>
      </c>
      <c r="F55" s="80">
        <v>1</v>
      </c>
      <c r="G55" s="82"/>
      <c r="H55" s="82"/>
      <c r="I55" s="227"/>
      <c r="J55" s="82"/>
      <c r="K55" s="80"/>
    </row>
    <row r="56" spans="5:14" s="8" customFormat="1">
      <c r="E56" s="82" t="s">
        <v>386</v>
      </c>
      <c r="F56" s="80">
        <v>1</v>
      </c>
      <c r="G56" s="82"/>
      <c r="H56" s="82"/>
      <c r="I56" s="227"/>
      <c r="J56" s="82" t="s">
        <v>43</v>
      </c>
      <c r="K56" s="80">
        <v>1</v>
      </c>
    </row>
    <row r="57" spans="5:14" s="8" customFormat="1">
      <c r="E57" s="82" t="s">
        <v>45</v>
      </c>
      <c r="F57" s="117">
        <v>1</v>
      </c>
      <c r="G57" s="82"/>
      <c r="H57" s="82"/>
      <c r="I57" s="227"/>
      <c r="J57" s="82" t="s">
        <v>44</v>
      </c>
      <c r="K57" s="80">
        <v>1</v>
      </c>
      <c r="L57" s="116"/>
    </row>
    <row r="58" spans="5:14" s="8" customFormat="1">
      <c r="E58" s="82" t="s">
        <v>205</v>
      </c>
      <c r="F58" s="117">
        <v>0</v>
      </c>
      <c r="G58" s="82"/>
      <c r="H58" s="118"/>
      <c r="I58" s="221"/>
      <c r="J58" s="82" t="s">
        <v>386</v>
      </c>
      <c r="K58" s="80">
        <v>1</v>
      </c>
      <c r="L58" s="116"/>
    </row>
    <row r="59" spans="5:14" s="8" customFormat="1">
      <c r="E59" s="82" t="s">
        <v>206</v>
      </c>
      <c r="F59" s="117">
        <v>1</v>
      </c>
      <c r="G59" s="82"/>
      <c r="H59" s="118"/>
      <c r="I59" s="221"/>
      <c r="J59" s="82" t="s">
        <v>45</v>
      </c>
      <c r="K59" s="117">
        <v>1</v>
      </c>
      <c r="L59" s="116"/>
    </row>
    <row r="60" spans="5:14" s="8" customFormat="1">
      <c r="E60" s="118" t="s">
        <v>46</v>
      </c>
      <c r="F60" s="120">
        <f>SUM(F54:F59)</f>
        <v>5</v>
      </c>
      <c r="G60" s="82"/>
      <c r="H60" s="82"/>
      <c r="I60" s="227"/>
      <c r="J60" s="82" t="s">
        <v>205</v>
      </c>
      <c r="K60" s="117">
        <v>0</v>
      </c>
      <c r="L60" s="118"/>
    </row>
    <row r="61" spans="5:14" s="8" customFormat="1">
      <c r="E61" s="82"/>
      <c r="F61" s="80"/>
      <c r="H61" s="118"/>
      <c r="I61" s="220"/>
      <c r="J61" s="82" t="s">
        <v>206</v>
      </c>
      <c r="K61" s="117">
        <v>1</v>
      </c>
      <c r="L61" s="118"/>
    </row>
    <row r="62" spans="5:14" s="8" customFormat="1">
      <c r="E62" s="118" t="s">
        <v>47</v>
      </c>
      <c r="F62" s="120">
        <f>+F52-F60</f>
        <v>-11</v>
      </c>
      <c r="J62" s="118" t="s">
        <v>46</v>
      </c>
      <c r="K62" s="120">
        <f>SUM(K56:K61)</f>
        <v>5</v>
      </c>
    </row>
    <row r="63" spans="5:14" s="8" customFormat="1">
      <c r="F63" s="220"/>
      <c r="J63" s="82"/>
      <c r="K63" s="80"/>
      <c r="L63" s="82"/>
    </row>
    <row r="64" spans="5:14" s="8" customFormat="1">
      <c r="F64" s="220"/>
      <c r="J64" s="118" t="s">
        <v>47</v>
      </c>
      <c r="K64" s="120">
        <f>+K54-K62</f>
        <v>-13</v>
      </c>
    </row>
    <row r="65" spans="1:10" s="8" customFormat="1">
      <c r="F65" s="220"/>
      <c r="J65" s="9"/>
    </row>
    <row r="66" spans="1:10" s="8" customFormat="1">
      <c r="F66" s="220"/>
      <c r="J66" s="9"/>
    </row>
    <row r="67" spans="1:10" s="8" customFormat="1">
      <c r="E67" s="247"/>
      <c r="F67" s="247"/>
      <c r="J67" s="9"/>
    </row>
    <row r="68" spans="1:10" s="8" customFormat="1">
      <c r="D68" s="247" t="s">
        <v>192</v>
      </c>
      <c r="E68" s="247"/>
      <c r="F68" s="248"/>
      <c r="J68" s="9"/>
    </row>
    <row r="69" spans="1:10" s="8" customFormat="1">
      <c r="D69" s="247" t="s">
        <v>194</v>
      </c>
      <c r="E69" s="249"/>
      <c r="F69" s="250"/>
      <c r="G69" s="124">
        <f>SUM(E73:F73)</f>
        <v>0</v>
      </c>
      <c r="J69" s="9"/>
    </row>
    <row r="70" spans="1:10" s="8" customFormat="1">
      <c r="D70" s="8" t="s">
        <v>9</v>
      </c>
      <c r="E70" s="249"/>
      <c r="F70" s="250"/>
      <c r="J70" s="9"/>
    </row>
    <row r="71" spans="1:10" s="8" customFormat="1">
      <c r="D71" s="8" t="s">
        <v>195</v>
      </c>
      <c r="E71" s="249"/>
      <c r="F71" s="250"/>
      <c r="J71" s="9"/>
    </row>
    <row r="72" spans="1:10" s="8" customFormat="1">
      <c r="D72" s="8" t="s">
        <v>188</v>
      </c>
      <c r="E72" s="124"/>
      <c r="F72" s="250"/>
      <c r="J72" s="9"/>
    </row>
    <row r="73" spans="1:10" s="8" customFormat="1">
      <c r="F73" s="220"/>
      <c r="J73" s="9"/>
    </row>
    <row r="74" spans="1:10">
      <c r="D74" s="8"/>
      <c r="E74" s="8"/>
      <c r="G74" s="79"/>
      <c r="H74" s="79"/>
    </row>
    <row r="75" spans="1:10">
      <c r="D75" s="8"/>
      <c r="E75" s="8"/>
      <c r="G75" s="79"/>
      <c r="H75" s="79"/>
    </row>
    <row r="76" spans="1:10">
      <c r="D76" s="8"/>
      <c r="E76" s="8"/>
      <c r="G76" s="79"/>
      <c r="H76" s="79"/>
    </row>
    <row r="77" spans="1:10">
      <c r="D77" s="8"/>
      <c r="E77" s="8"/>
    </row>
    <row r="78" spans="1:10">
      <c r="A78" s="268"/>
      <c r="D78" s="8"/>
      <c r="E78" s="8"/>
    </row>
    <row r="79" spans="1:10">
      <c r="E79" s="293"/>
    </row>
    <row r="80" spans="1:10">
      <c r="B80" s="235"/>
      <c r="E80" s="8"/>
    </row>
    <row r="81" spans="1:5">
      <c r="E81" s="293"/>
    </row>
    <row r="82" spans="1:5">
      <c r="E82" s="8"/>
    </row>
    <row r="83" spans="1:5">
      <c r="C83" s="155"/>
      <c r="E83" s="293"/>
    </row>
    <row r="84" spans="1:5">
      <c r="A84" s="269"/>
      <c r="E84" s="8"/>
    </row>
    <row r="85" spans="1:5">
      <c r="C85" s="155"/>
      <c r="E85" s="293"/>
    </row>
    <row r="86" spans="1:5">
      <c r="A86" s="269"/>
      <c r="E86" s="8"/>
    </row>
    <row r="87" spans="1:5">
      <c r="C87" s="155"/>
      <c r="E87" s="293"/>
    </row>
    <row r="88" spans="1:5">
      <c r="A88" s="269"/>
      <c r="E88" s="8"/>
    </row>
    <row r="89" spans="1:5">
      <c r="C89" s="155"/>
      <c r="E89" s="293"/>
    </row>
    <row r="90" spans="1:5">
      <c r="A90" s="269"/>
      <c r="E90" s="8"/>
    </row>
    <row r="91" spans="1:5">
      <c r="C91" s="155"/>
      <c r="E91" s="293"/>
    </row>
    <row r="92" spans="1:5">
      <c r="A92" s="269"/>
      <c r="E92" s="8"/>
    </row>
    <row r="93" spans="1:5">
      <c r="C93" s="155"/>
      <c r="E93" s="293"/>
    </row>
    <row r="94" spans="1:5">
      <c r="A94" s="269"/>
      <c r="E94" s="8"/>
    </row>
    <row r="95" spans="1:5">
      <c r="C95" s="155"/>
      <c r="E95" s="293"/>
    </row>
    <row r="96" spans="1:5">
      <c r="A96" s="269"/>
      <c r="E96" s="8"/>
    </row>
    <row r="97" spans="1:5">
      <c r="C97" s="155"/>
      <c r="E97" s="293"/>
    </row>
    <row r="98" spans="1:5">
      <c r="A98" s="269"/>
      <c r="E98" s="8"/>
    </row>
    <row r="99" spans="1:5">
      <c r="C99" s="155"/>
      <c r="E99" s="293"/>
    </row>
    <row r="100" spans="1:5">
      <c r="A100" s="269"/>
      <c r="E100" s="8"/>
    </row>
    <row r="101" spans="1:5">
      <c r="C101" s="155"/>
      <c r="E101" s="293"/>
    </row>
    <row r="102" spans="1:5">
      <c r="A102" s="269"/>
      <c r="E102" s="8"/>
    </row>
    <row r="103" spans="1:5">
      <c r="C103" s="155"/>
      <c r="E103" s="293"/>
    </row>
    <row r="104" spans="1:5">
      <c r="A104" s="269"/>
      <c r="E104" s="8"/>
    </row>
    <row r="105" spans="1:5">
      <c r="C105" s="155"/>
      <c r="E105" s="293"/>
    </row>
    <row r="106" spans="1:5">
      <c r="A106" s="269"/>
      <c r="E106" s="8"/>
    </row>
    <row r="107" spans="1:5">
      <c r="C107" s="155"/>
      <c r="E107" s="293"/>
    </row>
    <row r="108" spans="1:5">
      <c r="A108" s="269"/>
      <c r="E108" s="8"/>
    </row>
    <row r="109" spans="1:5">
      <c r="C109" s="155"/>
      <c r="E109" s="293"/>
    </row>
    <row r="110" spans="1:5">
      <c r="A110" s="269"/>
      <c r="E110" s="8"/>
    </row>
    <row r="111" spans="1:5">
      <c r="C111" s="155"/>
      <c r="E111" s="293"/>
    </row>
    <row r="112" spans="1:5">
      <c r="A112" s="269"/>
      <c r="E112" s="8"/>
    </row>
    <row r="113" spans="1:5">
      <c r="C113" s="155"/>
      <c r="E113" s="293"/>
    </row>
    <row r="114" spans="1:5">
      <c r="A114" s="269"/>
      <c r="E114" s="8"/>
    </row>
    <row r="115" spans="1:5">
      <c r="C115" s="155"/>
      <c r="E115" s="293"/>
    </row>
    <row r="116" spans="1:5">
      <c r="A116" s="269"/>
      <c r="E116" s="8"/>
    </row>
    <row r="117" spans="1:5">
      <c r="C117" s="155"/>
      <c r="E117" s="293"/>
    </row>
    <row r="118" spans="1:5">
      <c r="A118" s="269"/>
      <c r="E118" s="8"/>
    </row>
    <row r="119" spans="1:5">
      <c r="C119" s="155"/>
      <c r="E119" s="293"/>
    </row>
    <row r="120" spans="1:5">
      <c r="A120" s="269"/>
      <c r="E120" s="8"/>
    </row>
    <row r="121" spans="1:5">
      <c r="C121" s="155"/>
      <c r="E121" s="293"/>
    </row>
    <row r="122" spans="1:5">
      <c r="A122" s="269"/>
      <c r="E122" s="8"/>
    </row>
    <row r="123" spans="1:5">
      <c r="C123" s="155"/>
      <c r="E123" s="293"/>
    </row>
    <row r="124" spans="1:5">
      <c r="A124" s="269"/>
      <c r="E124" s="8"/>
    </row>
    <row r="125" spans="1:5">
      <c r="C125" s="155"/>
      <c r="E125" s="293"/>
    </row>
    <row r="126" spans="1:5">
      <c r="A126" s="269"/>
      <c r="E126" s="8"/>
    </row>
    <row r="127" spans="1:5">
      <c r="C127" s="155"/>
      <c r="E127" s="293"/>
    </row>
    <row r="128" spans="1:5">
      <c r="A128" s="269"/>
      <c r="E128" s="8"/>
    </row>
    <row r="129" spans="1:5">
      <c r="C129" s="155"/>
      <c r="E129" s="293"/>
    </row>
    <row r="130" spans="1:5">
      <c r="A130" s="269"/>
      <c r="E130" s="8"/>
    </row>
    <row r="131" spans="1:5">
      <c r="C131" s="155"/>
      <c r="E131" s="293"/>
    </row>
    <row r="132" spans="1:5">
      <c r="A132" s="269"/>
      <c r="E132" s="8"/>
    </row>
    <row r="133" spans="1:5">
      <c r="C133" s="155"/>
      <c r="E133" s="293"/>
    </row>
    <row r="134" spans="1:5">
      <c r="A134" s="269"/>
      <c r="E134" s="8"/>
    </row>
    <row r="135" spans="1:5">
      <c r="C135" s="155"/>
      <c r="E135" s="293"/>
    </row>
    <row r="136" spans="1:5">
      <c r="A136" s="269"/>
      <c r="E136" s="8"/>
    </row>
    <row r="137" spans="1:5">
      <c r="C137" s="155"/>
      <c r="E137" s="293"/>
    </row>
    <row r="138" spans="1:5">
      <c r="A138" s="269"/>
      <c r="E138" s="8"/>
    </row>
    <row r="139" spans="1:5">
      <c r="C139" s="155"/>
      <c r="E139" s="293"/>
    </row>
    <row r="140" spans="1:5">
      <c r="A140" s="269"/>
      <c r="E140" s="8"/>
    </row>
    <row r="141" spans="1:5">
      <c r="C141" s="155"/>
      <c r="E141" s="155"/>
    </row>
    <row r="142" spans="1:5">
      <c r="A142" s="269"/>
    </row>
    <row r="143" spans="1:5">
      <c r="C143" s="155"/>
      <c r="E143" s="155"/>
    </row>
    <row r="144" spans="1:5">
      <c r="A144" s="269"/>
    </row>
    <row r="145" spans="1:5">
      <c r="C145" s="155"/>
      <c r="E145" s="155"/>
    </row>
    <row r="146" spans="1:5">
      <c r="A146" s="269"/>
    </row>
    <row r="147" spans="1:5">
      <c r="C147" s="155"/>
      <c r="E147" s="155"/>
    </row>
    <row r="148" spans="1:5">
      <c r="A148" s="269"/>
    </row>
    <row r="149" spans="1:5">
      <c r="C149" s="155"/>
      <c r="E149" s="155"/>
    </row>
    <row r="150" spans="1:5">
      <c r="A150" s="269"/>
    </row>
    <row r="151" spans="1:5">
      <c r="C151" s="155"/>
      <c r="E151" s="155"/>
    </row>
    <row r="152" spans="1:5">
      <c r="A152" s="269"/>
    </row>
    <row r="153" spans="1:5">
      <c r="C153" s="155"/>
      <c r="E153" s="155"/>
    </row>
    <row r="154" spans="1:5">
      <c r="A154" s="269"/>
    </row>
    <row r="155" spans="1:5">
      <c r="C155" s="155"/>
      <c r="E155" s="155"/>
    </row>
    <row r="156" spans="1:5">
      <c r="A156" s="269"/>
    </row>
    <row r="157" spans="1:5">
      <c r="C157" s="155"/>
      <c r="E157" s="155"/>
    </row>
    <row r="158" spans="1:5">
      <c r="A158" s="269"/>
    </row>
    <row r="159" spans="1:5">
      <c r="C159" s="155"/>
      <c r="E159" s="155"/>
    </row>
    <row r="160" spans="1:5">
      <c r="A160" s="269"/>
    </row>
    <row r="161" spans="1:5">
      <c r="C161" s="155"/>
      <c r="E161" s="155"/>
    </row>
    <row r="162" spans="1:5">
      <c r="A162" s="269"/>
    </row>
    <row r="163" spans="1:5">
      <c r="C163" s="155"/>
      <c r="E163" s="155"/>
    </row>
    <row r="164" spans="1:5">
      <c r="A164" s="269"/>
    </row>
    <row r="165" spans="1:5">
      <c r="C165" s="155"/>
      <c r="E165" s="155"/>
    </row>
    <row r="166" spans="1:5">
      <c r="A166" s="269"/>
    </row>
    <row r="167" spans="1:5">
      <c r="C167" s="155"/>
      <c r="E167" s="155"/>
    </row>
    <row r="168" spans="1:5">
      <c r="A168" s="269"/>
    </row>
    <row r="169" spans="1:5">
      <c r="C169" s="155"/>
      <c r="E169" s="155"/>
    </row>
    <row r="170" spans="1:5">
      <c r="A170" s="269"/>
    </row>
    <row r="171" spans="1:5">
      <c r="C171" s="155"/>
      <c r="E171" s="155"/>
    </row>
    <row r="172" spans="1:5">
      <c r="A172" s="269"/>
    </row>
    <row r="173" spans="1:5">
      <c r="C173" s="155"/>
      <c r="E173" s="155"/>
    </row>
    <row r="174" spans="1:5">
      <c r="A174" s="269"/>
    </row>
    <row r="175" spans="1:5">
      <c r="C175" s="155"/>
      <c r="E175" s="155"/>
    </row>
    <row r="176" spans="1:5">
      <c r="A176" s="269"/>
    </row>
    <row r="177" spans="1:5">
      <c r="C177" s="155"/>
      <c r="E177" s="155"/>
    </row>
    <row r="178" spans="1:5">
      <c r="A178" s="269"/>
    </row>
    <row r="179" spans="1:5">
      <c r="C179" s="155"/>
      <c r="E179" s="155"/>
    </row>
    <row r="180" spans="1:5">
      <c r="A180" s="269"/>
    </row>
    <row r="181" spans="1:5">
      <c r="C181" s="155"/>
      <c r="E181" s="155"/>
    </row>
    <row r="182" spans="1:5">
      <c r="A182" s="269"/>
    </row>
    <row r="183" spans="1:5">
      <c r="C183" s="155"/>
      <c r="E183" s="155"/>
    </row>
    <row r="184" spans="1:5">
      <c r="A184" s="269"/>
    </row>
    <row r="185" spans="1:5">
      <c r="C185" s="155"/>
      <c r="E185" s="155"/>
    </row>
    <row r="186" spans="1:5">
      <c r="A186" s="269"/>
    </row>
    <row r="187" spans="1:5">
      <c r="C187" s="155"/>
      <c r="E187" s="155"/>
    </row>
    <row r="188" spans="1:5">
      <c r="A188" s="269"/>
    </row>
    <row r="189" spans="1:5">
      <c r="C189" s="155"/>
      <c r="E189" s="155"/>
    </row>
    <row r="190" spans="1:5">
      <c r="A190" s="269"/>
    </row>
    <row r="191" spans="1:5">
      <c r="C191" s="155"/>
      <c r="E191" s="155"/>
    </row>
    <row r="192" spans="1:5">
      <c r="A192" s="269"/>
    </row>
    <row r="193" spans="1:5">
      <c r="C193" s="155"/>
      <c r="E193" s="155"/>
    </row>
    <row r="194" spans="1:5">
      <c r="A194" s="269"/>
    </row>
    <row r="195" spans="1:5">
      <c r="C195" s="155"/>
      <c r="E195" s="155"/>
    </row>
    <row r="196" spans="1:5">
      <c r="A196" s="269"/>
    </row>
    <row r="197" spans="1:5">
      <c r="C197" s="155"/>
      <c r="E197" s="155"/>
    </row>
    <row r="198" spans="1:5">
      <c r="A198" s="269"/>
    </row>
    <row r="199" spans="1:5">
      <c r="C199" s="155"/>
      <c r="E199" s="155"/>
    </row>
    <row r="200" spans="1:5">
      <c r="A200" s="269"/>
    </row>
    <row r="201" spans="1:5">
      <c r="C201" s="155"/>
      <c r="E201" s="155"/>
    </row>
    <row r="202" spans="1:5">
      <c r="A202" s="269"/>
    </row>
    <row r="203" spans="1:5">
      <c r="D203" s="155"/>
      <c r="E203" s="155"/>
    </row>
    <row r="204" spans="1:5">
      <c r="A204" s="269"/>
    </row>
    <row r="205" spans="1:5">
      <c r="C205" s="155"/>
      <c r="E205" s="155"/>
    </row>
    <row r="206" spans="1:5">
      <c r="A206" s="269"/>
    </row>
    <row r="207" spans="1:5">
      <c r="C207" s="155"/>
      <c r="E207" s="155"/>
    </row>
    <row r="208" spans="1:5">
      <c r="A208" s="269"/>
    </row>
    <row r="209" spans="1:5">
      <c r="C209" s="155"/>
      <c r="E209" s="155"/>
    </row>
    <row r="210" spans="1:5">
      <c r="A210" s="269"/>
    </row>
    <row r="211" spans="1:5">
      <c r="C211" s="155"/>
    </row>
    <row r="212" spans="1:5">
      <c r="A212" s="269"/>
    </row>
    <row r="213" spans="1:5">
      <c r="C213" s="155"/>
    </row>
    <row r="214" spans="1:5">
      <c r="A214" s="269"/>
    </row>
  </sheetData>
  <mergeCells count="22">
    <mergeCell ref="A1:B4"/>
    <mergeCell ref="C1:I4"/>
    <mergeCell ref="B12:E12"/>
    <mergeCell ref="J4:K4"/>
    <mergeCell ref="J3:K3"/>
    <mergeCell ref="J1:J2"/>
    <mergeCell ref="K1:K2"/>
    <mergeCell ref="B14:D14"/>
    <mergeCell ref="G14:K14"/>
    <mergeCell ref="B15:D15"/>
    <mergeCell ref="G15:H15"/>
    <mergeCell ref="J15:K15"/>
    <mergeCell ref="G27:H27"/>
    <mergeCell ref="B30:D30"/>
    <mergeCell ref="B31:D31"/>
    <mergeCell ref="J36:K36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pageSetup scale="67" fitToHeight="0" orientation="landscape" horizontalDpi="0" verticalDpi="0" r:id="rId1"/>
  <headerFooter>
    <oddFooter>&amp;LQuality Service &amp;C&amp;Pde&amp;N&amp;RF1PNO-CYA-05.00</oddFooter>
  </headerFooter>
  <drawing r:id="rId2"/>
  <legacyDrawing r:id="rId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94D4F-FA87-4046-ABD6-62540B935F3B}">
  <dimension ref="A2:E147"/>
  <sheetViews>
    <sheetView topLeftCell="A4" workbookViewId="0">
      <selection activeCell="C21" activeCellId="1" sqref="C31 C21:C27"/>
    </sheetView>
  </sheetViews>
  <sheetFormatPr baseColWidth="10" defaultRowHeight="14.5"/>
  <cols>
    <col min="1" max="1" width="16.1796875" customWidth="1"/>
    <col min="2" max="2" width="40.1796875" customWidth="1"/>
    <col min="4" max="5" width="12.7265625" bestFit="1" customWidth="1"/>
  </cols>
  <sheetData>
    <row r="2" spans="1:5">
      <c r="A2" t="s">
        <v>210</v>
      </c>
    </row>
    <row r="3" spans="1:5">
      <c r="A3" t="s">
        <v>211</v>
      </c>
    </row>
    <row r="4" spans="1:5">
      <c r="A4" t="s">
        <v>212</v>
      </c>
    </row>
    <row r="6" spans="1:5">
      <c r="A6" t="s">
        <v>213</v>
      </c>
    </row>
    <row r="7" spans="1:5">
      <c r="A7" s="268">
        <v>45412</v>
      </c>
    </row>
    <row r="9" spans="1:5">
      <c r="A9" t="s">
        <v>214</v>
      </c>
      <c r="B9">
        <v>117143222</v>
      </c>
    </row>
    <row r="10" spans="1:5">
      <c r="A10" t="s">
        <v>215</v>
      </c>
      <c r="B10" s="235">
        <v>546202.9</v>
      </c>
    </row>
    <row r="12" spans="1:5">
      <c r="A12" t="s">
        <v>216</v>
      </c>
      <c r="B12" t="s">
        <v>217</v>
      </c>
      <c r="C12" t="s">
        <v>218</v>
      </c>
      <c r="D12" t="s">
        <v>219</v>
      </c>
      <c r="E12" t="s">
        <v>220</v>
      </c>
    </row>
    <row r="13" spans="1:5">
      <c r="A13" s="269">
        <v>45412</v>
      </c>
      <c r="B13" t="s">
        <v>221</v>
      </c>
      <c r="D13" s="155">
        <v>0.04</v>
      </c>
      <c r="E13" s="155">
        <v>546202.9</v>
      </c>
    </row>
    <row r="14" spans="1:5">
      <c r="B14" t="s">
        <v>222</v>
      </c>
    </row>
    <row r="15" spans="1:5">
      <c r="A15" s="269">
        <v>45411</v>
      </c>
      <c r="B15" t="s">
        <v>223</v>
      </c>
      <c r="C15" s="155">
        <v>2587.5</v>
      </c>
      <c r="E15" s="155">
        <v>546202.86</v>
      </c>
    </row>
    <row r="16" spans="1:5">
      <c r="B16" t="s">
        <v>224</v>
      </c>
    </row>
    <row r="17" spans="1:5">
      <c r="A17" s="269">
        <v>45411</v>
      </c>
      <c r="B17" t="s">
        <v>225</v>
      </c>
      <c r="D17" s="155">
        <v>420000</v>
      </c>
      <c r="E17" s="155">
        <v>548790.36</v>
      </c>
    </row>
    <row r="18" spans="1:5">
      <c r="B18" t="s">
        <v>226</v>
      </c>
    </row>
    <row r="19" spans="1:5">
      <c r="A19" s="269">
        <v>45408</v>
      </c>
      <c r="B19" t="s">
        <v>227</v>
      </c>
      <c r="D19" s="155">
        <v>2587.5</v>
      </c>
      <c r="E19" s="155">
        <v>128790.36</v>
      </c>
    </row>
    <row r="20" spans="1:5">
      <c r="B20" t="s">
        <v>228</v>
      </c>
    </row>
    <row r="21" spans="1:5">
      <c r="A21" s="269">
        <v>45408</v>
      </c>
      <c r="B21" t="s">
        <v>229</v>
      </c>
      <c r="C21" s="270">
        <v>1485</v>
      </c>
      <c r="E21" s="155">
        <v>126202.86</v>
      </c>
    </row>
    <row r="22" spans="1:5">
      <c r="B22" t="s">
        <v>228</v>
      </c>
      <c r="C22" s="271"/>
    </row>
    <row r="23" spans="1:5">
      <c r="A23" s="269">
        <v>45408</v>
      </c>
      <c r="B23" t="s">
        <v>230</v>
      </c>
      <c r="C23" s="270">
        <v>2587.5</v>
      </c>
      <c r="E23" s="155">
        <v>127687.86</v>
      </c>
    </row>
    <row r="24" spans="1:5">
      <c r="B24" t="s">
        <v>228</v>
      </c>
      <c r="C24" s="271"/>
    </row>
    <row r="25" spans="1:5">
      <c r="A25" s="269">
        <v>45408</v>
      </c>
      <c r="B25" t="s">
        <v>231</v>
      </c>
      <c r="C25" s="270">
        <v>3113.57</v>
      </c>
      <c r="E25" s="155">
        <v>130275.36</v>
      </c>
    </row>
    <row r="26" spans="1:5">
      <c r="B26" t="s">
        <v>228</v>
      </c>
      <c r="C26" s="271"/>
    </row>
    <row r="27" spans="1:5">
      <c r="A27" s="269">
        <v>45408</v>
      </c>
      <c r="B27" t="s">
        <v>232</v>
      </c>
      <c r="C27" s="270">
        <v>4481.38</v>
      </c>
      <c r="E27" s="155">
        <v>133388.93</v>
      </c>
    </row>
    <row r="28" spans="1:5">
      <c r="B28" t="s">
        <v>233</v>
      </c>
    </row>
    <row r="29" spans="1:5">
      <c r="A29" s="269">
        <v>45408</v>
      </c>
      <c r="B29" t="s">
        <v>234</v>
      </c>
      <c r="C29" s="155">
        <v>374630.74</v>
      </c>
      <c r="E29" s="155">
        <v>137870.31</v>
      </c>
    </row>
    <row r="30" spans="1:5">
      <c r="B30" t="s">
        <v>235</v>
      </c>
    </row>
    <row r="31" spans="1:5">
      <c r="A31" s="269">
        <v>45408</v>
      </c>
      <c r="B31" t="s">
        <v>236</v>
      </c>
      <c r="C31" s="270">
        <v>318049.48</v>
      </c>
      <c r="E31" s="155">
        <v>512501.05</v>
      </c>
    </row>
    <row r="32" spans="1:5">
      <c r="B32" t="s">
        <v>237</v>
      </c>
    </row>
    <row r="33" spans="1:5">
      <c r="A33" s="269">
        <v>45408</v>
      </c>
      <c r="B33" t="s">
        <v>238</v>
      </c>
      <c r="C33" s="155">
        <v>1084.69</v>
      </c>
      <c r="E33" s="155">
        <v>830550.53</v>
      </c>
    </row>
    <row r="34" spans="1:5">
      <c r="B34" t="s">
        <v>239</v>
      </c>
    </row>
    <row r="35" spans="1:5">
      <c r="A35" s="269">
        <v>45408</v>
      </c>
      <c r="B35" t="s">
        <v>240</v>
      </c>
      <c r="C35" s="155">
        <v>1391.95</v>
      </c>
      <c r="E35" s="155">
        <v>831635.22</v>
      </c>
    </row>
    <row r="36" spans="1:5">
      <c r="B36" t="s">
        <v>241</v>
      </c>
    </row>
    <row r="37" spans="1:5">
      <c r="A37" s="269">
        <v>45408</v>
      </c>
      <c r="B37" t="s">
        <v>242</v>
      </c>
      <c r="C37" s="155">
        <v>354012.85</v>
      </c>
      <c r="E37" s="155">
        <v>833027.17</v>
      </c>
    </row>
    <row r="38" spans="1:5">
      <c r="B38" t="s">
        <v>243</v>
      </c>
    </row>
    <row r="39" spans="1:5">
      <c r="A39" s="269">
        <v>45408</v>
      </c>
      <c r="B39" t="s">
        <v>244</v>
      </c>
      <c r="C39" s="155">
        <v>1617.27</v>
      </c>
      <c r="E39" s="155">
        <v>1187040.02</v>
      </c>
    </row>
    <row r="40" spans="1:5">
      <c r="B40" t="s">
        <v>245</v>
      </c>
    </row>
    <row r="41" spans="1:5">
      <c r="A41" s="269">
        <v>45408</v>
      </c>
      <c r="B41" t="s">
        <v>234</v>
      </c>
      <c r="C41" s="155">
        <v>4820.04</v>
      </c>
      <c r="E41" s="155">
        <v>1188657.29</v>
      </c>
    </row>
    <row r="42" spans="1:5">
      <c r="B42" t="s">
        <v>235</v>
      </c>
    </row>
    <row r="43" spans="1:5">
      <c r="A43" s="269">
        <v>45408</v>
      </c>
      <c r="B43" t="s">
        <v>246</v>
      </c>
      <c r="C43" s="155">
        <v>26.4</v>
      </c>
      <c r="E43" s="155">
        <v>1193477.33</v>
      </c>
    </row>
    <row r="44" spans="1:5">
      <c r="A44" s="269">
        <v>45408</v>
      </c>
      <c r="B44" t="s">
        <v>247</v>
      </c>
      <c r="C44" s="155">
        <v>165</v>
      </c>
      <c r="E44" s="155">
        <v>1193503.73</v>
      </c>
    </row>
    <row r="45" spans="1:5">
      <c r="A45" s="269">
        <v>45408</v>
      </c>
      <c r="B45" t="s">
        <v>248</v>
      </c>
      <c r="C45" s="155">
        <v>28681.19</v>
      </c>
      <c r="E45" s="155">
        <v>1193668.73</v>
      </c>
    </row>
    <row r="46" spans="1:5">
      <c r="B46" t="s">
        <v>249</v>
      </c>
    </row>
    <row r="47" spans="1:5">
      <c r="A47" s="269">
        <v>45407</v>
      </c>
      <c r="B47" t="s">
        <v>250</v>
      </c>
      <c r="C47" s="155">
        <v>117914.59</v>
      </c>
      <c r="D47" t="s">
        <v>329</v>
      </c>
      <c r="E47" s="155">
        <v>1222349.92</v>
      </c>
    </row>
    <row r="48" spans="1:5">
      <c r="B48" t="s">
        <v>251</v>
      </c>
    </row>
    <row r="49" spans="1:5">
      <c r="A49" s="269">
        <v>45407</v>
      </c>
      <c r="B49" t="s">
        <v>252</v>
      </c>
      <c r="C49" s="155">
        <v>344898.86</v>
      </c>
      <c r="E49" s="155">
        <v>1340264.51</v>
      </c>
    </row>
    <row r="50" spans="1:5">
      <c r="B50" t="s">
        <v>253</v>
      </c>
    </row>
    <row r="51" spans="1:5">
      <c r="A51" s="269">
        <v>45407</v>
      </c>
      <c r="B51" t="s">
        <v>254</v>
      </c>
      <c r="C51" s="155">
        <v>1337</v>
      </c>
      <c r="E51" s="155">
        <v>1685163.37</v>
      </c>
    </row>
    <row r="52" spans="1:5">
      <c r="B52" t="s">
        <v>255</v>
      </c>
    </row>
    <row r="53" spans="1:5">
      <c r="A53" s="269">
        <v>45407</v>
      </c>
      <c r="B53" t="s">
        <v>256</v>
      </c>
      <c r="C53" s="155">
        <v>2208.54</v>
      </c>
      <c r="E53" s="155">
        <v>1686500.37</v>
      </c>
    </row>
    <row r="54" spans="1:5">
      <c r="B54" t="s">
        <v>257</v>
      </c>
    </row>
    <row r="55" spans="1:5">
      <c r="A55" s="269">
        <v>45407</v>
      </c>
      <c r="B55" t="s">
        <v>258</v>
      </c>
      <c r="C55" s="155">
        <v>7017.94</v>
      </c>
      <c r="E55" s="155">
        <v>1688708.91</v>
      </c>
    </row>
    <row r="56" spans="1:5">
      <c r="B56" t="s">
        <v>257</v>
      </c>
    </row>
    <row r="57" spans="1:5">
      <c r="A57" s="269">
        <v>45407</v>
      </c>
      <c r="B57" t="s">
        <v>234</v>
      </c>
      <c r="C57" s="155">
        <v>256463.1</v>
      </c>
      <c r="D57" t="s">
        <v>328</v>
      </c>
      <c r="E57" s="155">
        <v>1695726.85</v>
      </c>
    </row>
    <row r="58" spans="1:5">
      <c r="B58" t="s">
        <v>235</v>
      </c>
    </row>
    <row r="59" spans="1:5">
      <c r="A59" s="269">
        <v>45405</v>
      </c>
      <c r="B59" t="s">
        <v>221</v>
      </c>
      <c r="D59" s="155">
        <v>0.09</v>
      </c>
      <c r="E59" s="155">
        <v>1952189.95</v>
      </c>
    </row>
    <row r="60" spans="1:5">
      <c r="A60" s="269">
        <v>45404</v>
      </c>
      <c r="B60" t="s">
        <v>259</v>
      </c>
      <c r="D60" s="155">
        <v>1620000</v>
      </c>
      <c r="E60" s="155">
        <v>1952189.86</v>
      </c>
    </row>
    <row r="61" spans="1:5">
      <c r="B61" t="s">
        <v>260</v>
      </c>
    </row>
    <row r="62" spans="1:5">
      <c r="A62" s="269">
        <v>45401</v>
      </c>
      <c r="B62" t="s">
        <v>261</v>
      </c>
      <c r="C62" s="155">
        <v>2087.44</v>
      </c>
      <c r="E62" s="155">
        <v>332189.86</v>
      </c>
    </row>
    <row r="63" spans="1:5">
      <c r="B63" t="s">
        <v>262</v>
      </c>
    </row>
    <row r="64" spans="1:5">
      <c r="A64" s="269">
        <v>45401</v>
      </c>
      <c r="B64" t="s">
        <v>263</v>
      </c>
      <c r="C64" s="155">
        <v>713.88</v>
      </c>
      <c r="E64" s="155">
        <v>334277.3</v>
      </c>
    </row>
    <row r="65" spans="1:5">
      <c r="B65" t="s">
        <v>264</v>
      </c>
    </row>
    <row r="66" spans="1:5">
      <c r="A66" s="269">
        <v>45400</v>
      </c>
      <c r="B66" t="s">
        <v>265</v>
      </c>
      <c r="C66" s="155">
        <v>114465.61</v>
      </c>
      <c r="E66" s="155">
        <v>334991.18</v>
      </c>
    </row>
    <row r="67" spans="1:5">
      <c r="B67" t="s">
        <v>266</v>
      </c>
    </row>
    <row r="68" spans="1:5">
      <c r="A68" s="269">
        <v>45400</v>
      </c>
      <c r="B68" t="s">
        <v>267</v>
      </c>
      <c r="C68" s="155">
        <v>959.67</v>
      </c>
      <c r="E68" s="155">
        <v>449456.79</v>
      </c>
    </row>
    <row r="69" spans="1:5">
      <c r="B69" t="s">
        <v>268</v>
      </c>
    </row>
    <row r="70" spans="1:5">
      <c r="A70" s="269">
        <v>45400</v>
      </c>
      <c r="B70" t="s">
        <v>269</v>
      </c>
      <c r="C70" s="155">
        <v>2208.54</v>
      </c>
      <c r="E70" s="155">
        <v>450416.46</v>
      </c>
    </row>
    <row r="71" spans="1:5">
      <c r="B71" t="s">
        <v>270</v>
      </c>
    </row>
    <row r="72" spans="1:5">
      <c r="A72" s="269">
        <v>45400</v>
      </c>
      <c r="B72" t="s">
        <v>271</v>
      </c>
      <c r="C72" s="155">
        <v>2510.33</v>
      </c>
      <c r="E72" s="155">
        <v>452625</v>
      </c>
    </row>
    <row r="73" spans="1:5">
      <c r="B73" t="s">
        <v>270</v>
      </c>
    </row>
    <row r="74" spans="1:5">
      <c r="A74" s="269">
        <v>45400</v>
      </c>
      <c r="B74" t="s">
        <v>234</v>
      </c>
      <c r="C74" s="155">
        <v>217126.11</v>
      </c>
      <c r="E74" s="155">
        <v>455135.33</v>
      </c>
    </row>
    <row r="75" spans="1:5">
      <c r="B75" t="s">
        <v>235</v>
      </c>
    </row>
    <row r="76" spans="1:5">
      <c r="A76" s="269">
        <v>45398</v>
      </c>
      <c r="B76" t="s">
        <v>272</v>
      </c>
      <c r="D76" s="155">
        <v>390000</v>
      </c>
      <c r="E76" s="155">
        <v>672261.44</v>
      </c>
    </row>
    <row r="77" spans="1:5">
      <c r="B77" t="s">
        <v>273</v>
      </c>
    </row>
    <row r="78" spans="1:5">
      <c r="A78" s="269">
        <v>45394</v>
      </c>
      <c r="B78" t="s">
        <v>274</v>
      </c>
      <c r="C78" s="155">
        <v>1237.5</v>
      </c>
      <c r="E78" s="155">
        <v>282261.44</v>
      </c>
    </row>
    <row r="79" spans="1:5">
      <c r="B79" t="s">
        <v>275</v>
      </c>
    </row>
    <row r="80" spans="1:5">
      <c r="A80" s="269">
        <v>45394</v>
      </c>
      <c r="B80" t="s">
        <v>276</v>
      </c>
      <c r="C80" s="155">
        <v>2250</v>
      </c>
      <c r="E80" s="155">
        <v>283498.94</v>
      </c>
    </row>
    <row r="81" spans="1:5">
      <c r="B81" t="s">
        <v>275</v>
      </c>
    </row>
    <row r="82" spans="1:5">
      <c r="A82" s="269">
        <v>45394</v>
      </c>
      <c r="B82" t="s">
        <v>277</v>
      </c>
      <c r="C82" s="155">
        <v>2625.01</v>
      </c>
      <c r="E82" s="155">
        <v>285748.94</v>
      </c>
    </row>
    <row r="83" spans="1:5">
      <c r="B83" t="s">
        <v>275</v>
      </c>
    </row>
    <row r="84" spans="1:5">
      <c r="A84" s="269">
        <v>45394</v>
      </c>
      <c r="B84" t="s">
        <v>278</v>
      </c>
      <c r="C84" s="155">
        <v>4646.38</v>
      </c>
      <c r="E84" s="155">
        <v>288373.95</v>
      </c>
    </row>
    <row r="85" spans="1:5">
      <c r="B85" t="s">
        <v>279</v>
      </c>
    </row>
    <row r="86" spans="1:5">
      <c r="A86" s="269">
        <v>45394</v>
      </c>
      <c r="B86" t="s">
        <v>280</v>
      </c>
      <c r="C86" s="155">
        <v>29</v>
      </c>
      <c r="E86" s="155">
        <v>293020.33</v>
      </c>
    </row>
    <row r="87" spans="1:5">
      <c r="B87" t="s">
        <v>281</v>
      </c>
    </row>
    <row r="88" spans="1:5">
      <c r="A88" s="269">
        <v>45394</v>
      </c>
      <c r="B88" t="s">
        <v>282</v>
      </c>
      <c r="C88" s="155">
        <v>29</v>
      </c>
      <c r="E88" s="155">
        <v>293049.33</v>
      </c>
    </row>
    <row r="89" spans="1:5">
      <c r="B89" t="s">
        <v>283</v>
      </c>
    </row>
    <row r="90" spans="1:5">
      <c r="A90" s="269">
        <v>45394</v>
      </c>
      <c r="B90" t="s">
        <v>284</v>
      </c>
      <c r="C90" s="155">
        <v>56563.59</v>
      </c>
      <c r="E90" s="155">
        <v>293078.33</v>
      </c>
    </row>
    <row r="91" spans="1:5">
      <c r="B91" t="s">
        <v>285</v>
      </c>
    </row>
    <row r="92" spans="1:5">
      <c r="A92" s="269">
        <v>45394</v>
      </c>
      <c r="B92" t="s">
        <v>286</v>
      </c>
      <c r="C92" s="155">
        <v>2628.14</v>
      </c>
      <c r="E92" s="155">
        <v>349641.92</v>
      </c>
    </row>
    <row r="93" spans="1:5">
      <c r="B93" t="s">
        <v>287</v>
      </c>
    </row>
    <row r="94" spans="1:5">
      <c r="A94" s="269">
        <v>45394</v>
      </c>
      <c r="B94" t="s">
        <v>234</v>
      </c>
      <c r="C94" s="155">
        <v>385455.86</v>
      </c>
      <c r="E94" s="155">
        <v>352270.06</v>
      </c>
    </row>
    <row r="95" spans="1:5">
      <c r="B95" t="s">
        <v>235</v>
      </c>
    </row>
    <row r="96" spans="1:5">
      <c r="A96" s="269">
        <v>45393</v>
      </c>
      <c r="B96" t="s">
        <v>288</v>
      </c>
      <c r="C96" s="155">
        <v>299431.40000000002</v>
      </c>
      <c r="E96" s="155">
        <v>737725.92</v>
      </c>
    </row>
    <row r="97" spans="1:5">
      <c r="B97" t="s">
        <v>289</v>
      </c>
    </row>
    <row r="98" spans="1:5">
      <c r="A98" s="269">
        <v>45393</v>
      </c>
      <c r="B98" t="s">
        <v>290</v>
      </c>
      <c r="C98" s="155">
        <v>116025.71</v>
      </c>
      <c r="E98" s="155">
        <v>1037157.32</v>
      </c>
    </row>
    <row r="99" spans="1:5">
      <c r="B99" t="s">
        <v>291</v>
      </c>
    </row>
    <row r="100" spans="1:5">
      <c r="A100" s="269">
        <v>45393</v>
      </c>
      <c r="B100" t="s">
        <v>292</v>
      </c>
      <c r="C100" s="155">
        <v>994.89</v>
      </c>
      <c r="E100" s="155">
        <v>1153183.03</v>
      </c>
    </row>
    <row r="101" spans="1:5">
      <c r="B101" t="s">
        <v>293</v>
      </c>
    </row>
    <row r="102" spans="1:5">
      <c r="A102" s="269">
        <v>45393</v>
      </c>
      <c r="B102" t="s">
        <v>294</v>
      </c>
      <c r="C102" s="155">
        <v>2208.54</v>
      </c>
      <c r="E102" s="155">
        <v>1154177.92</v>
      </c>
    </row>
    <row r="103" spans="1:5">
      <c r="B103" t="s">
        <v>295</v>
      </c>
    </row>
    <row r="104" spans="1:5">
      <c r="A104" s="269">
        <v>45393</v>
      </c>
      <c r="B104" t="s">
        <v>296</v>
      </c>
      <c r="C104" s="155">
        <v>3229.54</v>
      </c>
      <c r="E104" s="155">
        <v>1156386.46</v>
      </c>
    </row>
    <row r="105" spans="1:5">
      <c r="B105" t="s">
        <v>295</v>
      </c>
    </row>
    <row r="106" spans="1:5">
      <c r="A106" s="269">
        <v>45393</v>
      </c>
      <c r="B106" t="s">
        <v>234</v>
      </c>
      <c r="C106" s="155">
        <v>225061.44</v>
      </c>
      <c r="E106" s="155">
        <v>1159616</v>
      </c>
    </row>
    <row r="107" spans="1:5">
      <c r="B107" t="s">
        <v>235</v>
      </c>
    </row>
    <row r="108" spans="1:5">
      <c r="A108" s="269">
        <v>45393</v>
      </c>
      <c r="B108" t="s">
        <v>297</v>
      </c>
      <c r="D108" s="155">
        <v>20000</v>
      </c>
      <c r="E108" s="155">
        <v>1384677.44</v>
      </c>
    </row>
    <row r="109" spans="1:5">
      <c r="B109" t="s">
        <v>298</v>
      </c>
    </row>
    <row r="110" spans="1:5">
      <c r="A110" s="269">
        <v>45392</v>
      </c>
      <c r="B110" t="s">
        <v>299</v>
      </c>
      <c r="C110" s="155">
        <v>20000</v>
      </c>
      <c r="E110" s="155">
        <v>1364677.44</v>
      </c>
    </row>
    <row r="111" spans="1:5">
      <c r="B111" t="s">
        <v>298</v>
      </c>
    </row>
    <row r="112" spans="1:5">
      <c r="A112" s="269">
        <v>45391</v>
      </c>
      <c r="B112" t="s">
        <v>300</v>
      </c>
      <c r="D112" s="155">
        <v>2569</v>
      </c>
      <c r="E112" s="155">
        <v>1384677.44</v>
      </c>
    </row>
    <row r="113" spans="1:5">
      <c r="B113" t="s">
        <v>298</v>
      </c>
    </row>
    <row r="114" spans="1:5">
      <c r="A114" s="269">
        <v>45391</v>
      </c>
      <c r="B114" t="s">
        <v>301</v>
      </c>
      <c r="D114" s="155">
        <v>1115000</v>
      </c>
      <c r="E114" s="155">
        <v>1382108.44</v>
      </c>
    </row>
    <row r="115" spans="1:5">
      <c r="B115" t="s">
        <v>302</v>
      </c>
    </row>
    <row r="116" spans="1:5">
      <c r="A116" s="269">
        <v>45390</v>
      </c>
      <c r="B116" t="s">
        <v>303</v>
      </c>
      <c r="C116" s="155">
        <v>2569</v>
      </c>
      <c r="E116" s="155">
        <v>267108.44</v>
      </c>
    </row>
    <row r="117" spans="1:5">
      <c r="B117" t="s">
        <v>304</v>
      </c>
    </row>
    <row r="118" spans="1:5">
      <c r="A118" s="269">
        <v>45387</v>
      </c>
      <c r="B118" t="s">
        <v>305</v>
      </c>
      <c r="C118" s="155">
        <v>29</v>
      </c>
      <c r="E118" s="155">
        <v>269677.44</v>
      </c>
    </row>
    <row r="119" spans="1:5">
      <c r="B119" t="s">
        <v>306</v>
      </c>
    </row>
    <row r="120" spans="1:5">
      <c r="A120" s="269">
        <v>45387</v>
      </c>
      <c r="B120" t="s">
        <v>307</v>
      </c>
      <c r="C120" s="155">
        <v>22985.77</v>
      </c>
      <c r="E120" s="155">
        <v>269706.44</v>
      </c>
    </row>
    <row r="121" spans="1:5">
      <c r="B121" t="s">
        <v>308</v>
      </c>
    </row>
    <row r="122" spans="1:5">
      <c r="A122" s="269">
        <v>45387</v>
      </c>
      <c r="B122" t="s">
        <v>309</v>
      </c>
      <c r="C122" s="155">
        <v>7572.93</v>
      </c>
      <c r="E122" s="155">
        <v>292692.21000000002</v>
      </c>
    </row>
    <row r="123" spans="1:5">
      <c r="B123" t="s">
        <v>310</v>
      </c>
    </row>
    <row r="124" spans="1:5">
      <c r="A124" s="269">
        <v>45387</v>
      </c>
      <c r="B124" t="s">
        <v>311</v>
      </c>
      <c r="C124" s="155">
        <v>4125.25</v>
      </c>
      <c r="E124" s="155">
        <v>300265.14</v>
      </c>
    </row>
    <row r="125" spans="1:5">
      <c r="B125" t="s">
        <v>312</v>
      </c>
    </row>
    <row r="126" spans="1:5">
      <c r="A126" s="269">
        <v>45387</v>
      </c>
      <c r="B126" t="s">
        <v>313</v>
      </c>
      <c r="D126" s="155">
        <v>200000</v>
      </c>
      <c r="E126" s="155">
        <v>304390.39</v>
      </c>
    </row>
    <row r="127" spans="1:5">
      <c r="B127" t="s">
        <v>298</v>
      </c>
    </row>
    <row r="128" spans="1:5">
      <c r="A128" s="269">
        <v>45387</v>
      </c>
      <c r="B128" t="s">
        <v>314</v>
      </c>
      <c r="C128" s="155">
        <v>59331.97</v>
      </c>
      <c r="E128" s="155">
        <v>104390.39</v>
      </c>
    </row>
    <row r="129" spans="1:5">
      <c r="B129" t="s">
        <v>315</v>
      </c>
    </row>
    <row r="130" spans="1:5">
      <c r="A130" s="269">
        <v>45386</v>
      </c>
      <c r="B130" t="s">
        <v>316</v>
      </c>
      <c r="C130" s="155">
        <v>106160.42</v>
      </c>
      <c r="E130" s="155">
        <v>163722.35999999999</v>
      </c>
    </row>
    <row r="131" spans="1:5">
      <c r="B131" t="s">
        <v>317</v>
      </c>
    </row>
    <row r="132" spans="1:5">
      <c r="A132" s="269">
        <v>45386</v>
      </c>
      <c r="B132" t="s">
        <v>318</v>
      </c>
      <c r="C132" s="155">
        <v>10000</v>
      </c>
      <c r="E132" s="155">
        <v>269882.78000000003</v>
      </c>
    </row>
    <row r="133" spans="1:5">
      <c r="B133">
        <v>40424</v>
      </c>
    </row>
    <row r="134" spans="1:5">
      <c r="A134" s="269">
        <v>45386</v>
      </c>
      <c r="B134" t="s">
        <v>319</v>
      </c>
      <c r="C134" s="155">
        <v>994.89</v>
      </c>
      <c r="E134" s="155">
        <v>279882.78000000003</v>
      </c>
    </row>
    <row r="135" spans="1:5">
      <c r="B135" t="s">
        <v>320</v>
      </c>
    </row>
    <row r="136" spans="1:5">
      <c r="A136" s="269">
        <v>45386</v>
      </c>
      <c r="B136" t="s">
        <v>321</v>
      </c>
      <c r="C136" s="155">
        <v>2750.85</v>
      </c>
      <c r="E136" s="155">
        <v>280877.67</v>
      </c>
    </row>
    <row r="137" spans="1:5">
      <c r="B137" t="s">
        <v>322</v>
      </c>
    </row>
    <row r="138" spans="1:5">
      <c r="A138" s="269">
        <v>45386</v>
      </c>
      <c r="B138" t="s">
        <v>323</v>
      </c>
      <c r="C138" s="155">
        <v>2518.23</v>
      </c>
      <c r="E138" s="155">
        <v>283628.52</v>
      </c>
    </row>
    <row r="139" spans="1:5">
      <c r="B139" t="s">
        <v>322</v>
      </c>
    </row>
    <row r="140" spans="1:5">
      <c r="A140" s="269">
        <v>45386</v>
      </c>
      <c r="B140" t="s">
        <v>234</v>
      </c>
      <c r="C140" s="155">
        <v>200433.41</v>
      </c>
      <c r="E140" s="155">
        <v>286146.75</v>
      </c>
    </row>
    <row r="141" spans="1:5">
      <c r="B141" t="s">
        <v>235</v>
      </c>
    </row>
    <row r="142" spans="1:5">
      <c r="A142" s="269">
        <v>45383</v>
      </c>
      <c r="B142" t="s">
        <v>324</v>
      </c>
      <c r="C142" s="155">
        <v>165000</v>
      </c>
      <c r="E142" s="155">
        <v>486580.16</v>
      </c>
    </row>
    <row r="143" spans="1:5">
      <c r="B143" t="s">
        <v>298</v>
      </c>
    </row>
    <row r="144" spans="1:5">
      <c r="A144" s="269">
        <v>45383</v>
      </c>
      <c r="B144" t="s">
        <v>325</v>
      </c>
      <c r="D144" s="155">
        <v>480000</v>
      </c>
      <c r="E144" s="155">
        <v>651580.16000000003</v>
      </c>
    </row>
    <row r="145" spans="2:2">
      <c r="B145" t="s">
        <v>326</v>
      </c>
    </row>
    <row r="147" spans="2:2">
      <c r="B147" t="s">
        <v>327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D8B63-2EC6-4E4B-8475-5606DCA84CB4}">
  <dimension ref="B6:P59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79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3" s="8" customFormat="1" ht="18">
      <c r="B6" s="5"/>
      <c r="C6" s="5"/>
      <c r="D6" s="5"/>
      <c r="E6" s="6" t="s">
        <v>0</v>
      </c>
      <c r="F6" s="7"/>
      <c r="G6" s="5"/>
      <c r="H6" s="5"/>
      <c r="I6" s="5"/>
      <c r="J6" s="5"/>
      <c r="K6" s="5"/>
    </row>
    <row r="7" spans="2:13">
      <c r="B7" s="1"/>
      <c r="C7" s="1"/>
      <c r="D7" s="1"/>
      <c r="E7" s="1"/>
      <c r="F7" s="2"/>
      <c r="G7" s="1"/>
      <c r="H7" s="1"/>
      <c r="I7" s="1"/>
      <c r="J7" s="1"/>
      <c r="K7" s="1"/>
    </row>
    <row r="8" spans="2:13">
      <c r="B8" s="1"/>
      <c r="C8" s="1"/>
      <c r="D8" s="1"/>
      <c r="E8" s="1"/>
      <c r="F8" s="2"/>
      <c r="G8" s="1"/>
      <c r="H8" s="1"/>
      <c r="I8" s="4"/>
      <c r="J8" s="1"/>
      <c r="K8" s="76"/>
    </row>
    <row r="9" spans="2:13">
      <c r="B9" s="1"/>
      <c r="C9" s="1"/>
      <c r="D9" s="1"/>
      <c r="E9" s="1"/>
      <c r="F9" s="2"/>
      <c r="G9" s="1"/>
      <c r="H9" s="1"/>
      <c r="I9" s="4"/>
      <c r="J9" s="1"/>
      <c r="K9" s="1"/>
    </row>
    <row r="10" spans="2:13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3" ht="15" thickBot="1">
      <c r="B11" s="1"/>
      <c r="C11" s="1"/>
      <c r="D11" s="1"/>
      <c r="E11" s="1"/>
      <c r="F11" s="2"/>
      <c r="G11" s="1"/>
      <c r="H11" s="1"/>
      <c r="I11" s="1"/>
      <c r="J11" s="1"/>
      <c r="K11" s="1"/>
    </row>
    <row r="12" spans="2:13" ht="18" thickBot="1">
      <c r="B12" s="331" t="s">
        <v>2</v>
      </c>
      <c r="C12" s="332"/>
      <c r="D12" s="332"/>
      <c r="E12" s="333"/>
      <c r="F12" s="12"/>
      <c r="G12" s="1"/>
      <c r="H12" s="1"/>
      <c r="I12" s="1"/>
      <c r="J12" s="1"/>
      <c r="K12" s="1"/>
      <c r="L12" s="13"/>
      <c r="M12" t="s">
        <v>20</v>
      </c>
    </row>
    <row r="13" spans="2:13" ht="18" thickBot="1">
      <c r="B13" s="1"/>
      <c r="C13" s="1"/>
      <c r="D13" s="1"/>
      <c r="E13" s="1"/>
      <c r="F13" s="123"/>
      <c r="G13" s="11"/>
      <c r="H13" s="11"/>
      <c r="I13" s="11"/>
      <c r="J13" s="15"/>
      <c r="K13" s="16"/>
      <c r="L13" s="13"/>
    </row>
    <row r="14" spans="2:13" ht="15" thickBot="1">
      <c r="B14" s="334" t="s">
        <v>3</v>
      </c>
      <c r="C14" s="335"/>
      <c r="D14" s="336"/>
      <c r="E14" s="17">
        <f>SUM(E15:E17)</f>
        <v>209521.4</v>
      </c>
      <c r="F14" s="107"/>
      <c r="G14" s="331" t="s">
        <v>4</v>
      </c>
      <c r="H14" s="332"/>
      <c r="I14" s="332"/>
      <c r="J14" s="332"/>
      <c r="K14" s="333"/>
      <c r="L14" s="19"/>
    </row>
    <row r="15" spans="2:13">
      <c r="B15" s="337" t="s">
        <v>5</v>
      </c>
      <c r="C15" s="338"/>
      <c r="D15" s="339"/>
      <c r="E15" s="20">
        <f>J16+J17+J18+J19</f>
        <v>76755.789999999994</v>
      </c>
      <c r="F15" s="108">
        <f>E15+E16+E17</f>
        <v>209521.4</v>
      </c>
      <c r="G15" s="340" t="s">
        <v>6</v>
      </c>
      <c r="H15" s="341"/>
      <c r="I15" s="21"/>
      <c r="J15" s="342" t="s">
        <v>5</v>
      </c>
      <c r="K15" s="343"/>
      <c r="L15" s="13"/>
    </row>
    <row r="16" spans="2:13">
      <c r="B16" s="349" t="s">
        <v>7</v>
      </c>
      <c r="C16" s="350"/>
      <c r="D16" s="351"/>
      <c r="E16" s="20">
        <f>G21+G22</f>
        <v>23301.15</v>
      </c>
      <c r="F16" s="108">
        <v>90000</v>
      </c>
      <c r="G16" s="22">
        <v>10468.790000000001</v>
      </c>
      <c r="H16" s="23" t="s">
        <v>8</v>
      </c>
      <c r="I16" s="24"/>
      <c r="J16" s="25">
        <v>11939.62</v>
      </c>
      <c r="K16" s="26" t="s">
        <v>9</v>
      </c>
      <c r="L16" s="13"/>
    </row>
    <row r="17" spans="2:14">
      <c r="B17" s="352" t="s">
        <v>6</v>
      </c>
      <c r="C17" s="353"/>
      <c r="D17" s="354"/>
      <c r="E17" s="28">
        <f>G16+G17+G18</f>
        <v>109464.45999999999</v>
      </c>
      <c r="F17" s="108">
        <f>F15-F16</f>
        <v>119521.4</v>
      </c>
      <c r="G17" s="22">
        <v>39929.39</v>
      </c>
      <c r="H17" s="29" t="s">
        <v>10</v>
      </c>
      <c r="I17" s="30"/>
      <c r="J17" s="25">
        <v>20879.509999999998</v>
      </c>
      <c r="K17" s="31" t="s">
        <v>10</v>
      </c>
      <c r="L17" s="13"/>
    </row>
    <row r="18" spans="2:14">
      <c r="B18" s="355" t="s">
        <v>11</v>
      </c>
      <c r="C18" s="356"/>
      <c r="D18" s="357"/>
      <c r="E18" s="20">
        <f>G28+G30+G29+G27</f>
        <v>5696.35</v>
      </c>
      <c r="F18" s="109"/>
      <c r="G18" s="22">
        <v>59066.28</v>
      </c>
      <c r="H18" s="29" t="s">
        <v>12</v>
      </c>
      <c r="I18" s="30"/>
      <c r="J18" s="25">
        <v>32465.9</v>
      </c>
      <c r="K18" s="31" t="s">
        <v>12</v>
      </c>
      <c r="L18" s="32"/>
    </row>
    <row r="19" spans="2:14">
      <c r="B19" s="344" t="s">
        <v>13</v>
      </c>
      <c r="C19" s="345"/>
      <c r="D19" s="346"/>
      <c r="E19" s="20">
        <v>13754823.039999999</v>
      </c>
      <c r="F19" s="108"/>
      <c r="G19" s="33"/>
      <c r="H19" s="34"/>
      <c r="I19" s="30"/>
      <c r="J19" s="25">
        <v>11470.76</v>
      </c>
      <c r="K19" s="31" t="s">
        <v>14</v>
      </c>
      <c r="L19" s="13"/>
    </row>
    <row r="20" spans="2:14">
      <c r="B20" s="358" t="s">
        <v>15</v>
      </c>
      <c r="C20" s="359"/>
      <c r="D20" s="360"/>
      <c r="E20" s="35">
        <f>SUM(E21:E23)</f>
        <v>8282.59</v>
      </c>
      <c r="F20" s="14"/>
      <c r="G20" s="361" t="s">
        <v>16</v>
      </c>
      <c r="H20" s="362"/>
      <c r="I20" s="36"/>
      <c r="J20" s="37"/>
      <c r="K20" s="38"/>
      <c r="L20" s="39"/>
    </row>
    <row r="21" spans="2:14">
      <c r="B21" s="40"/>
      <c r="C21" s="41"/>
      <c r="D21" s="122" t="s">
        <v>97</v>
      </c>
      <c r="E21" s="43">
        <v>7470.59</v>
      </c>
      <c r="F21" s="14"/>
      <c r="G21" s="44">
        <v>8871.76</v>
      </c>
      <c r="H21" s="29" t="s">
        <v>10</v>
      </c>
      <c r="I21" s="30"/>
      <c r="J21" s="37"/>
      <c r="K21" s="45"/>
      <c r="L21" s="39"/>
    </row>
    <row r="22" spans="2:14">
      <c r="B22" s="40"/>
      <c r="C22" s="41"/>
      <c r="D22" s="122" t="s">
        <v>98</v>
      </c>
      <c r="E22" s="43">
        <v>812</v>
      </c>
      <c r="F22" s="14"/>
      <c r="G22" s="44">
        <v>14429.39</v>
      </c>
      <c r="H22" s="29" t="s">
        <v>18</v>
      </c>
      <c r="I22" s="30"/>
      <c r="J22" s="50"/>
      <c r="K22" s="38"/>
      <c r="L22" s="39"/>
    </row>
    <row r="23" spans="2:14" ht="15" thickBot="1">
      <c r="B23" s="40"/>
      <c r="C23" s="41"/>
      <c r="D23" s="122"/>
      <c r="E23" s="43">
        <v>0</v>
      </c>
      <c r="F23" s="14"/>
      <c r="G23" s="51"/>
      <c r="H23" s="34"/>
      <c r="I23" s="30"/>
      <c r="J23" s="52"/>
      <c r="K23" s="53"/>
      <c r="L23" s="39"/>
      <c r="N23" t="s">
        <v>20</v>
      </c>
    </row>
    <row r="24" spans="2:14" ht="15" thickBot="1">
      <c r="B24" s="46" t="s">
        <v>17</v>
      </c>
      <c r="C24" s="47"/>
      <c r="D24" s="48"/>
      <c r="E24" s="49">
        <v>0</v>
      </c>
      <c r="F24" s="8"/>
      <c r="G24" s="331" t="s">
        <v>21</v>
      </c>
      <c r="H24" s="332"/>
      <c r="I24" s="332"/>
      <c r="J24" s="332"/>
      <c r="K24" s="333"/>
      <c r="L24" s="39"/>
    </row>
    <row r="25" spans="2:14">
      <c r="B25" s="366" t="s">
        <v>89</v>
      </c>
      <c r="C25" s="367"/>
      <c r="D25" s="368"/>
      <c r="E25" s="49">
        <v>75000</v>
      </c>
      <c r="F25" s="8"/>
      <c r="G25" s="54"/>
      <c r="H25" s="55"/>
      <c r="I25" s="56"/>
      <c r="J25" s="57"/>
      <c r="K25" s="58"/>
      <c r="L25" s="39"/>
    </row>
    <row r="26" spans="2:14">
      <c r="B26" s="344" t="s">
        <v>78</v>
      </c>
      <c r="C26" s="345"/>
      <c r="D26" s="346"/>
      <c r="E26" s="49">
        <v>0</v>
      </c>
      <c r="F26" s="8"/>
      <c r="G26" s="347" t="s">
        <v>5</v>
      </c>
      <c r="H26" s="348"/>
      <c r="I26" s="59"/>
      <c r="J26" s="60"/>
      <c r="K26" s="45"/>
      <c r="L26" s="61"/>
    </row>
    <row r="27" spans="2:14">
      <c r="B27" s="344" t="s">
        <v>22</v>
      </c>
      <c r="C27" s="345"/>
      <c r="D27" s="346"/>
      <c r="E27" s="49">
        <v>0</v>
      </c>
      <c r="F27" s="14">
        <v>0</v>
      </c>
      <c r="G27" s="22">
        <f>11598.2-11500</f>
        <v>98.200000000000728</v>
      </c>
      <c r="H27" s="62" t="s">
        <v>9</v>
      </c>
      <c r="I27" s="59"/>
      <c r="J27" s="60"/>
      <c r="K27" s="45"/>
      <c r="L27" s="61"/>
    </row>
    <row r="28" spans="2:14">
      <c r="B28" s="344" t="s">
        <v>81</v>
      </c>
      <c r="C28" s="345"/>
      <c r="D28" s="346"/>
      <c r="E28" s="49">
        <v>0</v>
      </c>
      <c r="F28" s="14">
        <v>0</v>
      </c>
      <c r="G28" s="22">
        <v>2083.2199999999998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4">
      <c r="B29" s="344" t="s">
        <v>24</v>
      </c>
      <c r="C29" s="345"/>
      <c r="D29" s="346"/>
      <c r="E29" s="49">
        <v>0</v>
      </c>
      <c r="F29" s="14">
        <v>0</v>
      </c>
      <c r="G29" s="67">
        <v>1329.27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4" ht="15" thickBot="1">
      <c r="B30" s="344" t="s">
        <v>25</v>
      </c>
      <c r="C30" s="345"/>
      <c r="D30" s="346"/>
      <c r="E30" s="49">
        <v>0</v>
      </c>
      <c r="F30" s="14">
        <v>0</v>
      </c>
      <c r="G30" s="71">
        <v>2185.66</v>
      </c>
      <c r="H30" s="72" t="s">
        <v>12</v>
      </c>
      <c r="I30" s="73"/>
      <c r="J30" s="74" t="s">
        <v>32</v>
      </c>
      <c r="K30" s="75" t="s">
        <v>33</v>
      </c>
      <c r="L30" s="61"/>
    </row>
    <row r="31" spans="2:14" ht="15" thickBot="1">
      <c r="B31" s="363" t="s">
        <v>29</v>
      </c>
      <c r="C31" s="364"/>
      <c r="D31" s="365"/>
      <c r="E31" s="66">
        <v>0</v>
      </c>
      <c r="F31" s="124">
        <f>SUM(F27:F30)</f>
        <v>0</v>
      </c>
      <c r="G31" s="76"/>
      <c r="H31" s="76"/>
      <c r="I31" s="76"/>
      <c r="J31" s="76"/>
      <c r="K31" s="1"/>
      <c r="L31" s="77"/>
    </row>
    <row r="35" spans="5:6">
      <c r="E35" s="110" t="s">
        <v>86</v>
      </c>
      <c r="F35" s="110"/>
    </row>
    <row r="36" spans="5:6">
      <c r="E36" s="110"/>
      <c r="F36" s="110"/>
    </row>
    <row r="37" spans="5:6">
      <c r="E37" s="82" t="s">
        <v>34</v>
      </c>
      <c r="F37" s="86">
        <f>F17</f>
        <v>119521.4</v>
      </c>
    </row>
    <row r="38" spans="5:6" s="61" customFormat="1" ht="15" customHeight="1">
      <c r="E38" s="82" t="s">
        <v>35</v>
      </c>
      <c r="F38" s="86">
        <f>+F31</f>
        <v>0</v>
      </c>
    </row>
    <row r="39" spans="5:6" s="61" customFormat="1" ht="15" customHeight="1">
      <c r="E39" s="82" t="s">
        <v>36</v>
      </c>
      <c r="F39" s="86">
        <v>0</v>
      </c>
    </row>
    <row r="40" spans="5:6" s="61" customFormat="1" ht="15" customHeight="1">
      <c r="E40" s="82" t="s">
        <v>37</v>
      </c>
      <c r="F40" s="86">
        <v>0</v>
      </c>
    </row>
    <row r="41" spans="5:6" s="61" customFormat="1" ht="15" customHeight="1">
      <c r="E41" s="112" t="s">
        <v>38</v>
      </c>
      <c r="F41" s="111">
        <f>SUM(F37:F40)</f>
        <v>119521.4</v>
      </c>
    </row>
    <row r="42" spans="5:6" s="61" customFormat="1" ht="15" customHeight="1">
      <c r="E42" s="113"/>
      <c r="F42" s="94"/>
    </row>
    <row r="43" spans="5:6" s="61" customFormat="1" ht="15" customHeight="1">
      <c r="E43" s="114" t="s">
        <v>95</v>
      </c>
      <c r="F43" s="94">
        <v>75000</v>
      </c>
    </row>
    <row r="44" spans="5:6" s="61" customFormat="1" ht="15" customHeight="1">
      <c r="E44" s="116" t="s">
        <v>24</v>
      </c>
      <c r="F44" s="117">
        <v>0</v>
      </c>
    </row>
    <row r="45" spans="5:6" s="61" customFormat="1" ht="15" customHeight="1">
      <c r="E45" s="116" t="s">
        <v>39</v>
      </c>
      <c r="F45" s="117">
        <v>2000</v>
      </c>
    </row>
    <row r="46" spans="5:6" s="61" customFormat="1" ht="15" customHeight="1">
      <c r="E46" s="116" t="s">
        <v>22</v>
      </c>
      <c r="F46" s="117">
        <v>20000</v>
      </c>
    </row>
    <row r="47" spans="5:6" s="61" customFormat="1" ht="15" customHeight="1">
      <c r="E47" s="116" t="s">
        <v>69</v>
      </c>
      <c r="F47" s="117">
        <v>0</v>
      </c>
    </row>
    <row r="48" spans="5:6" s="61" customFormat="1" ht="15" customHeight="1">
      <c r="E48" s="116" t="s">
        <v>81</v>
      </c>
      <c r="F48" s="117">
        <v>0</v>
      </c>
    </row>
    <row r="49" spans="5:6" s="61" customFormat="1" ht="15" customHeight="1">
      <c r="E49" s="116" t="s">
        <v>80</v>
      </c>
      <c r="F49" s="117">
        <v>0</v>
      </c>
    </row>
    <row r="50" spans="5:6" s="61" customFormat="1" ht="15" customHeight="1">
      <c r="E50" s="116" t="s">
        <v>40</v>
      </c>
      <c r="F50" s="94">
        <v>70000</v>
      </c>
    </row>
    <row r="51" spans="5:6" s="61" customFormat="1" ht="15" customHeight="1">
      <c r="E51" s="118" t="s">
        <v>41</v>
      </c>
      <c r="F51" s="119">
        <f>SUM(F43:F50)</f>
        <v>167000</v>
      </c>
    </row>
    <row r="52" spans="5:6" s="61" customFormat="1" ht="15" customHeight="1">
      <c r="E52" s="118" t="s">
        <v>42</v>
      </c>
      <c r="F52" s="119">
        <f>F41-F51</f>
        <v>-47478.600000000006</v>
      </c>
    </row>
    <row r="53" spans="5:6" s="61" customFormat="1">
      <c r="E53" s="82"/>
      <c r="F53" s="82"/>
    </row>
    <row r="54" spans="5:6" s="61" customFormat="1">
      <c r="E54" s="82" t="s">
        <v>43</v>
      </c>
      <c r="F54" s="80">
        <f>43800+180000</f>
        <v>223800</v>
      </c>
    </row>
    <row r="55" spans="5:6" s="61" customFormat="1">
      <c r="E55" s="82" t="s">
        <v>44</v>
      </c>
      <c r="F55" s="80">
        <f>100000+350000</f>
        <v>450000</v>
      </c>
    </row>
    <row r="56" spans="5:6" s="61" customFormat="1">
      <c r="E56" s="82" t="s">
        <v>91</v>
      </c>
      <c r="F56" s="117">
        <f>+E31</f>
        <v>0</v>
      </c>
    </row>
    <row r="57" spans="5:6" s="61" customFormat="1">
      <c r="E57" s="118" t="s">
        <v>46</v>
      </c>
      <c r="F57" s="120">
        <f>SUM(F54:F56)</f>
        <v>673800</v>
      </c>
    </row>
    <row r="58" spans="5:6" s="61" customFormat="1">
      <c r="E58" s="82"/>
      <c r="F58" s="82"/>
    </row>
    <row r="59" spans="5:6" s="61" customFormat="1">
      <c r="E59" s="118" t="s">
        <v>47</v>
      </c>
      <c r="F59" s="121">
        <f>F52-F57</f>
        <v>-721278.6</v>
      </c>
    </row>
  </sheetData>
  <mergeCells count="22"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  <mergeCell ref="B29:D29"/>
    <mergeCell ref="B30:D30"/>
    <mergeCell ref="B31:D31"/>
    <mergeCell ref="G24:K24"/>
    <mergeCell ref="B25:D25"/>
    <mergeCell ref="B26:D26"/>
    <mergeCell ref="G26:H26"/>
    <mergeCell ref="B27:D27"/>
    <mergeCell ref="B28:D28"/>
  </mergeCells>
  <pageMargins left="0.7" right="0.7" top="0.75" bottom="0.75" header="0.3" footer="0.3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8E940-CBE2-43EA-8598-81B157D2B84A}">
  <dimension ref="B6:P59"/>
  <sheetViews>
    <sheetView showGridLines="0" topLeftCell="A8" workbookViewId="0">
      <selection activeCell="B40" sqref="B40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79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3" s="8" customFormat="1" ht="18">
      <c r="B6" s="5"/>
      <c r="C6" s="5"/>
      <c r="D6" s="5"/>
      <c r="E6" s="6" t="s">
        <v>0</v>
      </c>
      <c r="F6" s="7"/>
      <c r="G6" s="5"/>
      <c r="H6" s="5"/>
      <c r="I6" s="5"/>
      <c r="J6" s="5"/>
      <c r="K6" s="5"/>
    </row>
    <row r="7" spans="2:13">
      <c r="B7" s="1"/>
      <c r="C7" s="1"/>
      <c r="D7" s="1"/>
      <c r="E7" s="1"/>
      <c r="F7" s="2"/>
      <c r="G7" s="1"/>
      <c r="H7" s="1"/>
      <c r="I7" s="1"/>
      <c r="J7" s="1"/>
      <c r="K7" s="1"/>
    </row>
    <row r="8" spans="2:13">
      <c r="B8" s="1"/>
      <c r="C8" s="1"/>
      <c r="D8" s="1"/>
      <c r="E8" s="1"/>
      <c r="F8" s="2"/>
      <c r="G8" s="1"/>
      <c r="H8" s="1"/>
      <c r="I8" s="4"/>
      <c r="J8" s="1"/>
      <c r="K8" s="76"/>
    </row>
    <row r="9" spans="2:13">
      <c r="B9" s="1"/>
      <c r="C9" s="1"/>
      <c r="D9" s="1"/>
      <c r="E9" s="1"/>
      <c r="F9" s="2"/>
      <c r="G9" s="1"/>
      <c r="H9" s="1"/>
      <c r="I9" s="4"/>
      <c r="J9" s="1"/>
      <c r="K9" s="1"/>
    </row>
    <row r="10" spans="2:13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3" ht="15" thickBot="1">
      <c r="B11" s="1"/>
      <c r="C11" s="1"/>
      <c r="D11" s="1"/>
      <c r="E11" s="1"/>
      <c r="F11" s="2"/>
      <c r="G11" s="1"/>
      <c r="H11" s="1"/>
      <c r="I11" s="1"/>
      <c r="J11" s="1"/>
      <c r="K11" s="1"/>
    </row>
    <row r="12" spans="2:13" ht="18" thickBot="1">
      <c r="B12" s="331" t="s">
        <v>2</v>
      </c>
      <c r="C12" s="332"/>
      <c r="D12" s="332"/>
      <c r="E12" s="333"/>
      <c r="F12" s="12"/>
      <c r="G12" s="1"/>
      <c r="H12" s="1"/>
      <c r="I12" s="1"/>
      <c r="J12" s="1"/>
      <c r="K12" s="1"/>
      <c r="L12" s="13"/>
      <c r="M12" t="s">
        <v>20</v>
      </c>
    </row>
    <row r="13" spans="2:13" ht="18" thickBot="1">
      <c r="B13" s="1"/>
      <c r="C13" s="1"/>
      <c r="D13" s="1"/>
      <c r="E13" s="1"/>
      <c r="F13" s="123"/>
      <c r="G13" s="11"/>
      <c r="H13" s="11"/>
      <c r="I13" s="11"/>
      <c r="J13" s="15"/>
      <c r="K13" s="16"/>
      <c r="L13" s="13"/>
    </row>
    <row r="14" spans="2:13" ht="15" thickBot="1">
      <c r="B14" s="334" t="s">
        <v>3</v>
      </c>
      <c r="C14" s="335"/>
      <c r="D14" s="336"/>
      <c r="E14" s="17">
        <f>SUM(E15:E17)</f>
        <v>459602.07999999996</v>
      </c>
      <c r="F14" s="107"/>
      <c r="G14" s="331" t="s">
        <v>4</v>
      </c>
      <c r="H14" s="332"/>
      <c r="I14" s="332"/>
      <c r="J14" s="332"/>
      <c r="K14" s="333"/>
      <c r="L14" s="19"/>
    </row>
    <row r="15" spans="2:13">
      <c r="B15" s="337" t="s">
        <v>5</v>
      </c>
      <c r="C15" s="338"/>
      <c r="D15" s="339"/>
      <c r="E15" s="20">
        <f>J16+J17+J18+J19</f>
        <v>383975.6</v>
      </c>
      <c r="F15" s="108">
        <f>E15+E16+E17</f>
        <v>459602.07999999996</v>
      </c>
      <c r="G15" s="340" t="s">
        <v>6</v>
      </c>
      <c r="H15" s="341"/>
      <c r="I15" s="21"/>
      <c r="J15" s="342" t="s">
        <v>5</v>
      </c>
      <c r="K15" s="343"/>
      <c r="L15" s="13"/>
    </row>
    <row r="16" spans="2:13">
      <c r="B16" s="349" t="s">
        <v>7</v>
      </c>
      <c r="C16" s="350"/>
      <c r="D16" s="351"/>
      <c r="E16" s="20">
        <f>G21+G22</f>
        <v>23960.75</v>
      </c>
      <c r="F16" s="108">
        <v>90000</v>
      </c>
      <c r="G16" s="22">
        <v>10468.790000000001</v>
      </c>
      <c r="H16" s="23" t="s">
        <v>8</v>
      </c>
      <c r="I16" s="24"/>
      <c r="J16" s="25">
        <v>11939.62</v>
      </c>
      <c r="K16" s="26" t="s">
        <v>9</v>
      </c>
      <c r="L16" s="13"/>
    </row>
    <row r="17" spans="2:14">
      <c r="B17" s="352" t="s">
        <v>6</v>
      </c>
      <c r="C17" s="353"/>
      <c r="D17" s="354"/>
      <c r="E17" s="28">
        <f>G16+G17+G18</f>
        <v>51665.729999999996</v>
      </c>
      <c r="F17" s="108">
        <f>F15-F16</f>
        <v>369602.07999999996</v>
      </c>
      <c r="G17" s="22">
        <v>12416.99</v>
      </c>
      <c r="H17" s="29" t="s">
        <v>10</v>
      </c>
      <c r="I17" s="30"/>
      <c r="J17" s="25">
        <v>10879.51</v>
      </c>
      <c r="K17" s="31" t="s">
        <v>10</v>
      </c>
      <c r="L17" s="13"/>
    </row>
    <row r="18" spans="2:14">
      <c r="B18" s="355" t="s">
        <v>11</v>
      </c>
      <c r="C18" s="356"/>
      <c r="D18" s="357"/>
      <c r="E18" s="20">
        <f>G28+G30+G29+G27</f>
        <v>5697.34</v>
      </c>
      <c r="F18" s="109"/>
      <c r="G18" s="22">
        <v>28779.95</v>
      </c>
      <c r="H18" s="29" t="s">
        <v>12</v>
      </c>
      <c r="I18" s="30"/>
      <c r="J18" s="25">
        <v>245905.87</v>
      </c>
      <c r="K18" s="31" t="s">
        <v>12</v>
      </c>
      <c r="L18" s="32"/>
    </row>
    <row r="19" spans="2:14">
      <c r="B19" s="344" t="s">
        <v>13</v>
      </c>
      <c r="C19" s="345"/>
      <c r="D19" s="346"/>
      <c r="E19" s="20">
        <v>13529788.35</v>
      </c>
      <c r="F19" s="108"/>
      <c r="G19" s="33"/>
      <c r="H19" s="34"/>
      <c r="I19" s="30"/>
      <c r="J19" s="25">
        <v>115250.6</v>
      </c>
      <c r="K19" s="31" t="s">
        <v>14</v>
      </c>
      <c r="L19" s="13"/>
    </row>
    <row r="20" spans="2:14">
      <c r="B20" s="358" t="s">
        <v>15</v>
      </c>
      <c r="C20" s="359"/>
      <c r="D20" s="360"/>
      <c r="E20" s="35">
        <f>SUM(E21:E23)</f>
        <v>338366.21</v>
      </c>
      <c r="F20" s="14"/>
      <c r="G20" s="361" t="s">
        <v>16</v>
      </c>
      <c r="H20" s="362"/>
      <c r="I20" s="36"/>
      <c r="J20" s="37"/>
      <c r="K20" s="38"/>
      <c r="L20" s="39"/>
    </row>
    <row r="21" spans="2:14">
      <c r="B21" s="40"/>
      <c r="C21" s="41"/>
      <c r="D21" s="122" t="s">
        <v>99</v>
      </c>
      <c r="E21" s="43">
        <v>108291.16</v>
      </c>
      <c r="F21" s="14"/>
      <c r="G21" s="44">
        <v>10289.36</v>
      </c>
      <c r="H21" s="29" t="s">
        <v>10</v>
      </c>
      <c r="I21" s="30"/>
      <c r="J21" s="37"/>
      <c r="K21" s="45"/>
      <c r="L21" s="39"/>
    </row>
    <row r="22" spans="2:14">
      <c r="B22" s="40"/>
      <c r="C22" s="41"/>
      <c r="D22" s="122" t="s">
        <v>101</v>
      </c>
      <c r="E22" s="43">
        <v>106900.44</v>
      </c>
      <c r="F22" s="14"/>
      <c r="G22" s="44">
        <v>13671.39</v>
      </c>
      <c r="H22" s="29" t="s">
        <v>18</v>
      </c>
      <c r="I22" s="30"/>
      <c r="J22" s="50"/>
      <c r="K22" s="38"/>
      <c r="L22" s="39"/>
    </row>
    <row r="23" spans="2:14" ht="15" thickBot="1">
      <c r="B23" s="40"/>
      <c r="C23" s="41"/>
      <c r="D23" s="122" t="s">
        <v>100</v>
      </c>
      <c r="E23" s="43">
        <v>123174.61</v>
      </c>
      <c r="F23" s="14"/>
      <c r="G23" s="51"/>
      <c r="H23" s="34"/>
      <c r="I23" s="30"/>
      <c r="J23" s="52"/>
      <c r="K23" s="53"/>
      <c r="L23" s="39"/>
      <c r="N23" t="s">
        <v>20</v>
      </c>
    </row>
    <row r="24" spans="2:14" ht="15" thickBot="1">
      <c r="B24" s="46" t="s">
        <v>17</v>
      </c>
      <c r="C24" s="47"/>
      <c r="D24" s="48"/>
      <c r="E24" s="49">
        <v>34355.5</v>
      </c>
      <c r="F24" s="8"/>
      <c r="G24" s="331" t="s">
        <v>21</v>
      </c>
      <c r="H24" s="332"/>
      <c r="I24" s="332"/>
      <c r="J24" s="332"/>
      <c r="K24" s="333"/>
      <c r="L24" s="39"/>
    </row>
    <row r="25" spans="2:14">
      <c r="B25" s="366" t="s">
        <v>89</v>
      </c>
      <c r="C25" s="367"/>
      <c r="D25" s="368"/>
      <c r="E25" s="49">
        <v>0</v>
      </c>
      <c r="F25" s="8"/>
      <c r="G25" s="54"/>
      <c r="H25" s="55"/>
      <c r="I25" s="56"/>
      <c r="J25" s="57"/>
      <c r="K25" s="58"/>
      <c r="L25" s="39"/>
    </row>
    <row r="26" spans="2:14">
      <c r="B26" s="344" t="s">
        <v>78</v>
      </c>
      <c r="C26" s="345"/>
      <c r="D26" s="346"/>
      <c r="E26" s="49">
        <v>0</v>
      </c>
      <c r="F26" s="8"/>
      <c r="G26" s="347" t="s">
        <v>5</v>
      </c>
      <c r="H26" s="348"/>
      <c r="I26" s="59"/>
      <c r="J26" s="60"/>
      <c r="K26" s="45"/>
      <c r="L26" s="61"/>
    </row>
    <row r="27" spans="2:14">
      <c r="B27" s="344" t="s">
        <v>22</v>
      </c>
      <c r="C27" s="345"/>
      <c r="D27" s="346"/>
      <c r="E27" s="49">
        <v>0</v>
      </c>
      <c r="F27" s="14">
        <v>0</v>
      </c>
      <c r="G27" s="22">
        <f>11598.2-11500</f>
        <v>98.200000000000728</v>
      </c>
      <c r="H27" s="62" t="s">
        <v>9</v>
      </c>
      <c r="I27" s="59"/>
      <c r="J27" s="60"/>
      <c r="K27" s="45"/>
      <c r="L27" s="61"/>
    </row>
    <row r="28" spans="2:14">
      <c r="B28" s="344" t="s">
        <v>81</v>
      </c>
      <c r="C28" s="345"/>
      <c r="D28" s="346"/>
      <c r="E28" s="49">
        <v>0</v>
      </c>
      <c r="F28" s="14">
        <v>0</v>
      </c>
      <c r="G28" s="22">
        <v>2083.62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4">
      <c r="B29" s="344" t="s">
        <v>24</v>
      </c>
      <c r="C29" s="345"/>
      <c r="D29" s="346"/>
      <c r="E29" s="49">
        <v>199400.83</v>
      </c>
      <c r="F29" s="14">
        <v>0</v>
      </c>
      <c r="G29" s="67">
        <v>1329.27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4" ht="15" thickBot="1">
      <c r="B30" s="344" t="s">
        <v>25</v>
      </c>
      <c r="C30" s="345"/>
      <c r="D30" s="346"/>
      <c r="E30" s="49">
        <v>0</v>
      </c>
      <c r="F30" s="14">
        <v>0</v>
      </c>
      <c r="G30" s="71">
        <v>2186.25</v>
      </c>
      <c r="H30" s="72" t="s">
        <v>12</v>
      </c>
      <c r="I30" s="73"/>
      <c r="J30" s="74" t="s">
        <v>32</v>
      </c>
      <c r="K30" s="75" t="s">
        <v>33</v>
      </c>
      <c r="L30" s="61"/>
    </row>
    <row r="31" spans="2:14" ht="15" thickBot="1">
      <c r="B31" s="363" t="s">
        <v>29</v>
      </c>
      <c r="C31" s="364"/>
      <c r="D31" s="365"/>
      <c r="E31" s="66">
        <v>0</v>
      </c>
      <c r="F31" s="124">
        <f>SUM(F27:F30)</f>
        <v>0</v>
      </c>
      <c r="G31" s="76"/>
      <c r="H31" s="76"/>
      <c r="I31" s="76"/>
      <c r="J31" s="76"/>
      <c r="K31" s="1"/>
      <c r="L31" s="77"/>
    </row>
    <row r="35" spans="5:6">
      <c r="E35" s="110" t="s">
        <v>86</v>
      </c>
      <c r="F35" s="110"/>
    </row>
    <row r="36" spans="5:6">
      <c r="E36" s="110"/>
      <c r="F36" s="110"/>
    </row>
    <row r="37" spans="5:6">
      <c r="E37" s="82" t="s">
        <v>34</v>
      </c>
      <c r="F37" s="86">
        <f>F17</f>
        <v>369602.07999999996</v>
      </c>
    </row>
    <row r="38" spans="5:6" s="61" customFormat="1" ht="15" customHeight="1">
      <c r="E38" s="82" t="s">
        <v>35</v>
      </c>
      <c r="F38" s="86">
        <f>+F31</f>
        <v>0</v>
      </c>
    </row>
    <row r="39" spans="5:6" s="61" customFormat="1" ht="15" customHeight="1">
      <c r="E39" s="82" t="s">
        <v>36</v>
      </c>
      <c r="F39" s="86">
        <v>0</v>
      </c>
    </row>
    <row r="40" spans="5:6" s="61" customFormat="1" ht="15" customHeight="1">
      <c r="E40" s="82" t="s">
        <v>37</v>
      </c>
      <c r="F40" s="86">
        <v>0</v>
      </c>
    </row>
    <row r="41" spans="5:6" s="61" customFormat="1" ht="15" customHeight="1">
      <c r="E41" s="112" t="s">
        <v>38</v>
      </c>
      <c r="F41" s="111">
        <f>SUM(F37:F40)</f>
        <v>369602.07999999996</v>
      </c>
    </row>
    <row r="42" spans="5:6" s="61" customFormat="1" ht="15" customHeight="1">
      <c r="E42" s="113"/>
      <c r="F42" s="94"/>
    </row>
    <row r="43" spans="5:6" s="61" customFormat="1" ht="15" customHeight="1">
      <c r="E43" s="114" t="s">
        <v>95</v>
      </c>
      <c r="F43" s="94">
        <v>75000</v>
      </c>
    </row>
    <row r="44" spans="5:6" s="61" customFormat="1" ht="15" customHeight="1">
      <c r="E44" s="116" t="s">
        <v>24</v>
      </c>
      <c r="F44" s="117">
        <v>0</v>
      </c>
    </row>
    <row r="45" spans="5:6" s="61" customFormat="1" ht="15" customHeight="1">
      <c r="E45" s="116" t="s">
        <v>39</v>
      </c>
      <c r="F45" s="117">
        <v>2000</v>
      </c>
    </row>
    <row r="46" spans="5:6" s="61" customFormat="1" ht="15" customHeight="1">
      <c r="E46" s="116" t="s">
        <v>22</v>
      </c>
      <c r="F46" s="117">
        <v>20000</v>
      </c>
    </row>
    <row r="47" spans="5:6" s="61" customFormat="1" ht="15" customHeight="1">
      <c r="E47" s="116" t="s">
        <v>69</v>
      </c>
      <c r="F47" s="117">
        <v>0</v>
      </c>
    </row>
    <row r="48" spans="5:6" s="61" customFormat="1" ht="15" customHeight="1">
      <c r="E48" s="116" t="s">
        <v>81</v>
      </c>
      <c r="F48" s="117">
        <v>0</v>
      </c>
    </row>
    <row r="49" spans="5:6" s="61" customFormat="1" ht="15" customHeight="1">
      <c r="E49" s="116" t="s">
        <v>80</v>
      </c>
      <c r="F49" s="117">
        <v>0</v>
      </c>
    </row>
    <row r="50" spans="5:6" s="61" customFormat="1" ht="15" customHeight="1">
      <c r="E50" s="116" t="s">
        <v>40</v>
      </c>
      <c r="F50" s="94">
        <v>70000</v>
      </c>
    </row>
    <row r="51" spans="5:6" s="61" customFormat="1" ht="15" customHeight="1">
      <c r="E51" s="118" t="s">
        <v>41</v>
      </c>
      <c r="F51" s="119">
        <f>SUM(F43:F50)</f>
        <v>167000</v>
      </c>
    </row>
    <row r="52" spans="5:6" s="61" customFormat="1" ht="15" customHeight="1">
      <c r="E52" s="118" t="s">
        <v>42</v>
      </c>
      <c r="F52" s="119">
        <f>F41-F51</f>
        <v>202602.07999999996</v>
      </c>
    </row>
    <row r="53" spans="5:6" s="61" customFormat="1">
      <c r="E53" s="82"/>
      <c r="F53" s="82"/>
    </row>
    <row r="54" spans="5:6" s="61" customFormat="1">
      <c r="E54" s="82" t="s">
        <v>43</v>
      </c>
      <c r="F54" s="80">
        <f>43800+180000</f>
        <v>223800</v>
      </c>
    </row>
    <row r="55" spans="5:6" s="61" customFormat="1">
      <c r="E55" s="82" t="s">
        <v>44</v>
      </c>
      <c r="F55" s="80">
        <f>100000+350000</f>
        <v>450000</v>
      </c>
    </row>
    <row r="56" spans="5:6" s="61" customFormat="1">
      <c r="E56" s="82" t="s">
        <v>91</v>
      </c>
      <c r="F56" s="117">
        <f>+E31</f>
        <v>0</v>
      </c>
    </row>
    <row r="57" spans="5:6" s="61" customFormat="1">
      <c r="E57" s="118" t="s">
        <v>46</v>
      </c>
      <c r="F57" s="120">
        <f>SUM(F54:F56)</f>
        <v>673800</v>
      </c>
    </row>
    <row r="58" spans="5:6" s="61" customFormat="1">
      <c r="E58" s="82"/>
      <c r="F58" s="82"/>
    </row>
    <row r="59" spans="5:6" s="61" customFormat="1">
      <c r="E59" s="118" t="s">
        <v>47</v>
      </c>
      <c r="F59" s="121">
        <f>F52-F57</f>
        <v>-471197.92000000004</v>
      </c>
    </row>
  </sheetData>
  <mergeCells count="22">
    <mergeCell ref="B29:D29"/>
    <mergeCell ref="B30:D30"/>
    <mergeCell ref="B31:D31"/>
    <mergeCell ref="G24:K24"/>
    <mergeCell ref="B25:D25"/>
    <mergeCell ref="B26:D26"/>
    <mergeCell ref="G26:H26"/>
    <mergeCell ref="B27:D27"/>
    <mergeCell ref="B28:D28"/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</mergeCells>
  <pageMargins left="0.7" right="0.7" top="0.75" bottom="0.75" header="0.3" footer="0.3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254AA-DD32-4EBC-B9D5-3B741CFE960B}">
  <dimension ref="B6:R61"/>
  <sheetViews>
    <sheetView showGridLines="0" topLeftCell="A19" workbookViewId="0">
      <selection activeCell="H47" sqref="H47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3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3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3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3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3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3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3" ht="18" thickBot="1">
      <c r="B12" s="331" t="s">
        <v>2</v>
      </c>
      <c r="C12" s="332"/>
      <c r="D12" s="332"/>
      <c r="E12" s="333"/>
      <c r="F12" s="146"/>
      <c r="G12" s="1"/>
      <c r="H12" s="1"/>
      <c r="I12" s="1"/>
      <c r="J12" s="1"/>
      <c r="K12" s="1"/>
      <c r="L12" s="13"/>
      <c r="M12" t="s">
        <v>20</v>
      </c>
    </row>
    <row r="13" spans="2:13" ht="18" thickBot="1">
      <c r="B13" s="1"/>
      <c r="C13" s="1"/>
      <c r="D13" s="1"/>
      <c r="E13" s="1"/>
      <c r="F13" s="148"/>
      <c r="G13" s="11"/>
      <c r="H13" s="11"/>
      <c r="I13" s="11"/>
      <c r="J13" s="15"/>
      <c r="K13" s="16"/>
      <c r="L13" s="13"/>
    </row>
    <row r="14" spans="2:13" ht="15" thickBot="1">
      <c r="B14" s="334" t="s">
        <v>3</v>
      </c>
      <c r="C14" s="335"/>
      <c r="D14" s="336"/>
      <c r="E14" s="17">
        <f>SUM(E15:E17)</f>
        <v>678387.11</v>
      </c>
      <c r="F14" s="149"/>
      <c r="G14" s="331" t="s">
        <v>4</v>
      </c>
      <c r="H14" s="332"/>
      <c r="I14" s="332"/>
      <c r="J14" s="332"/>
      <c r="K14" s="333"/>
      <c r="L14" s="19"/>
    </row>
    <row r="15" spans="2:13">
      <c r="B15" s="337" t="s">
        <v>5</v>
      </c>
      <c r="C15" s="338"/>
      <c r="D15" s="339"/>
      <c r="E15" s="20">
        <f>J16+J17+J18+J19</f>
        <v>602962.84</v>
      </c>
      <c r="F15" s="150">
        <f>E15+E16+E17</f>
        <v>678387.11</v>
      </c>
      <c r="G15" s="340" t="s">
        <v>6</v>
      </c>
      <c r="H15" s="341"/>
      <c r="I15" s="21"/>
      <c r="J15" s="342" t="s">
        <v>5</v>
      </c>
      <c r="K15" s="343"/>
      <c r="L15" s="13"/>
    </row>
    <row r="16" spans="2:13">
      <c r="B16" s="349" t="s">
        <v>7</v>
      </c>
      <c r="C16" s="350"/>
      <c r="D16" s="351"/>
      <c r="E16" s="20">
        <f>G21+G22</f>
        <v>23960.75</v>
      </c>
      <c r="F16" s="150">
        <v>90000</v>
      </c>
      <c r="G16" s="22">
        <v>10468.790000000001</v>
      </c>
      <c r="H16" s="23" t="s">
        <v>8</v>
      </c>
      <c r="I16" s="24"/>
      <c r="J16" s="25">
        <v>11939.62</v>
      </c>
      <c r="K16" s="26" t="s">
        <v>9</v>
      </c>
      <c r="L16" s="13"/>
    </row>
    <row r="17" spans="2:18">
      <c r="B17" s="352" t="s">
        <v>6</v>
      </c>
      <c r="C17" s="353"/>
      <c r="D17" s="354"/>
      <c r="E17" s="28">
        <f>G16+G17+G18</f>
        <v>51463.520000000004</v>
      </c>
      <c r="F17" s="150">
        <f>F15-F16</f>
        <v>588387.11</v>
      </c>
      <c r="G17" s="22">
        <v>16570.28</v>
      </c>
      <c r="H17" s="29" t="s">
        <v>10</v>
      </c>
      <c r="I17" s="30"/>
      <c r="J17" s="25">
        <v>266756.74</v>
      </c>
      <c r="K17" s="31" t="s">
        <v>10</v>
      </c>
      <c r="L17" s="13"/>
    </row>
    <row r="18" spans="2:18">
      <c r="B18" s="355" t="s">
        <v>11</v>
      </c>
      <c r="C18" s="356"/>
      <c r="D18" s="357"/>
      <c r="E18" s="20">
        <f>G28+G30+G29+G27</f>
        <v>5708.07</v>
      </c>
      <c r="F18" s="150"/>
      <c r="G18" s="22">
        <v>24424.45</v>
      </c>
      <c r="H18" s="29" t="s">
        <v>12</v>
      </c>
      <c r="I18" s="30"/>
      <c r="J18" s="25">
        <v>238621.87</v>
      </c>
      <c r="K18" s="31" t="s">
        <v>12</v>
      </c>
      <c r="L18" s="32"/>
    </row>
    <row r="19" spans="2:18">
      <c r="B19" s="344" t="s">
        <v>13</v>
      </c>
      <c r="C19" s="345"/>
      <c r="D19" s="346"/>
      <c r="E19" s="20">
        <v>13483277.289999999</v>
      </c>
      <c r="F19" s="150"/>
      <c r="G19" s="33"/>
      <c r="H19" s="34"/>
      <c r="I19" s="30"/>
      <c r="J19" s="25">
        <v>85644.61</v>
      </c>
      <c r="K19" s="31" t="s">
        <v>14</v>
      </c>
      <c r="L19" s="13"/>
    </row>
    <row r="20" spans="2:18">
      <c r="B20" s="358" t="s">
        <v>15</v>
      </c>
      <c r="C20" s="359"/>
      <c r="D20" s="360"/>
      <c r="E20" s="35">
        <f>SUM(E21:E23)</f>
        <v>928</v>
      </c>
      <c r="F20" s="149"/>
      <c r="G20" s="361" t="s">
        <v>16</v>
      </c>
      <c r="H20" s="362"/>
      <c r="I20" s="36"/>
      <c r="J20" s="37"/>
      <c r="K20" s="38"/>
      <c r="L20" s="39"/>
    </row>
    <row r="21" spans="2:18">
      <c r="B21" s="40"/>
      <c r="C21" s="41"/>
      <c r="D21" s="122" t="s">
        <v>106</v>
      </c>
      <c r="E21" s="43">
        <v>928</v>
      </c>
      <c r="F21" s="149"/>
      <c r="G21" s="44">
        <v>10289.36</v>
      </c>
      <c r="H21" s="29" t="s">
        <v>10</v>
      </c>
      <c r="I21" s="30"/>
      <c r="J21" s="37"/>
      <c r="K21" s="45"/>
      <c r="L21" s="39"/>
    </row>
    <row r="22" spans="2:18">
      <c r="B22" s="40"/>
      <c r="C22" s="41"/>
      <c r="D22" s="122"/>
      <c r="E22" s="43">
        <v>0</v>
      </c>
      <c r="F22" s="149"/>
      <c r="G22" s="44">
        <v>13671.39</v>
      </c>
      <c r="H22" s="29" t="s">
        <v>18</v>
      </c>
      <c r="I22" s="30"/>
      <c r="J22" s="50"/>
      <c r="K22" s="38"/>
      <c r="L22" s="39"/>
    </row>
    <row r="23" spans="2:18" ht="15" thickBot="1">
      <c r="B23" s="40"/>
      <c r="C23" s="41"/>
      <c r="D23" s="122"/>
      <c r="E23" s="43">
        <v>0</v>
      </c>
      <c r="F23" s="149"/>
      <c r="G23" s="51"/>
      <c r="H23" s="34"/>
      <c r="I23" s="30"/>
      <c r="J23" s="52"/>
      <c r="K23" s="53"/>
      <c r="L23" s="39"/>
      <c r="N23" t="s">
        <v>20</v>
      </c>
    </row>
    <row r="24" spans="2:18" ht="15" thickBot="1">
      <c r="B24" s="46" t="s">
        <v>17</v>
      </c>
      <c r="C24" s="47"/>
      <c r="D24" s="48"/>
      <c r="E24" s="49">
        <v>50469.89</v>
      </c>
      <c r="F24" s="39"/>
      <c r="G24" s="331" t="s">
        <v>21</v>
      </c>
      <c r="H24" s="332"/>
      <c r="I24" s="332"/>
      <c r="J24" s="332"/>
      <c r="K24" s="333"/>
      <c r="L24" s="39"/>
      <c r="M24">
        <v>2040.52</v>
      </c>
    </row>
    <row r="25" spans="2:18">
      <c r="B25" s="366" t="s">
        <v>77</v>
      </c>
      <c r="C25" s="367"/>
      <c r="D25" s="368"/>
      <c r="E25" s="49">
        <v>1500000</v>
      </c>
      <c r="F25" s="39"/>
      <c r="G25" s="54"/>
      <c r="H25" s="55"/>
      <c r="I25" s="56"/>
      <c r="J25" s="57"/>
      <c r="K25" s="58"/>
      <c r="L25" s="39"/>
      <c r="M25">
        <v>2040.52</v>
      </c>
      <c r="N25">
        <v>3724</v>
      </c>
    </row>
    <row r="26" spans="2:18">
      <c r="B26" s="344" t="s">
        <v>78</v>
      </c>
      <c r="C26" s="345"/>
      <c r="D26" s="346"/>
      <c r="E26" s="49">
        <v>75000</v>
      </c>
      <c r="F26" s="39"/>
      <c r="G26" s="347" t="s">
        <v>5</v>
      </c>
      <c r="H26" s="348"/>
      <c r="I26" s="59"/>
      <c r="J26" s="60"/>
      <c r="K26" s="45"/>
      <c r="L26" s="61"/>
      <c r="M26">
        <f>SUM(M24:M25)</f>
        <v>4081.04</v>
      </c>
      <c r="N26">
        <f>SUM(N24:N25)</f>
        <v>3724</v>
      </c>
      <c r="O26" s="3">
        <f>SUM(M26:N26)</f>
        <v>7805.04</v>
      </c>
      <c r="P26" s="3">
        <f>O26/15</f>
        <v>520.33600000000001</v>
      </c>
      <c r="Q26" s="152">
        <f>P26*13</f>
        <v>6764.3680000000004</v>
      </c>
      <c r="R26" s="152">
        <f>O26-Q26</f>
        <v>1040.6719999999996</v>
      </c>
    </row>
    <row r="27" spans="2:18">
      <c r="B27" s="344" t="s">
        <v>22</v>
      </c>
      <c r="C27" s="345"/>
      <c r="D27" s="346"/>
      <c r="E27" s="49">
        <v>0</v>
      </c>
      <c r="F27" s="149">
        <v>0</v>
      </c>
      <c r="G27" s="22">
        <f>11605.31-11500</f>
        <v>105.30999999999949</v>
      </c>
      <c r="H27" s="62" t="s">
        <v>9</v>
      </c>
      <c r="I27" s="59"/>
      <c r="J27" s="60"/>
      <c r="K27" s="45"/>
      <c r="L27" s="61"/>
    </row>
    <row r="28" spans="2:18">
      <c r="B28" s="344" t="s">
        <v>81</v>
      </c>
      <c r="C28" s="345"/>
      <c r="D28" s="346"/>
      <c r="E28" s="49">
        <v>0</v>
      </c>
      <c r="F28" s="149">
        <v>0</v>
      </c>
      <c r="G28" s="22">
        <v>2084.2199999999998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8">
      <c r="B29" s="344" t="s">
        <v>24</v>
      </c>
      <c r="C29" s="345"/>
      <c r="D29" s="346"/>
      <c r="E29" s="49">
        <v>0</v>
      </c>
      <c r="F29" s="149">
        <v>0</v>
      </c>
      <c r="G29" s="67">
        <v>1330.51</v>
      </c>
      <c r="H29" s="68" t="s">
        <v>14</v>
      </c>
      <c r="I29" s="63"/>
      <c r="J29" s="64" t="s">
        <v>30</v>
      </c>
      <c r="K29" s="65" t="s">
        <v>31</v>
      </c>
      <c r="L29" s="61"/>
      <c r="M29">
        <v>1789.77</v>
      </c>
    </row>
    <row r="30" spans="2:18" ht="15" thickBot="1">
      <c r="B30" s="344" t="s">
        <v>25</v>
      </c>
      <c r="C30" s="345"/>
      <c r="D30" s="346"/>
      <c r="E30" s="49">
        <v>0</v>
      </c>
      <c r="F30" s="149">
        <v>0</v>
      </c>
      <c r="G30" s="71">
        <v>2188.0300000000002</v>
      </c>
      <c r="H30" s="72" t="s">
        <v>12</v>
      </c>
      <c r="I30" s="73"/>
      <c r="J30" s="74" t="s">
        <v>32</v>
      </c>
      <c r="K30" s="75" t="s">
        <v>33</v>
      </c>
      <c r="L30" s="61"/>
      <c r="M30">
        <v>1789.77</v>
      </c>
    </row>
    <row r="31" spans="2:18" ht="15" thickBot="1">
      <c r="B31" s="363" t="s">
        <v>29</v>
      </c>
      <c r="C31" s="364"/>
      <c r="D31" s="365"/>
      <c r="E31" s="66">
        <v>0</v>
      </c>
      <c r="F31" s="39">
        <f>SUM(F27:F30)</f>
        <v>0</v>
      </c>
      <c r="G31" s="76"/>
      <c r="H31" s="76"/>
      <c r="I31" s="76"/>
      <c r="J31" s="76"/>
      <c r="K31" s="1"/>
      <c r="L31" s="77"/>
      <c r="M31">
        <f>SUM(M29:M30)</f>
        <v>3579.54</v>
      </c>
      <c r="N31">
        <v>3151.4</v>
      </c>
      <c r="O31" s="3">
        <f>+M31+N31</f>
        <v>6730.9400000000005</v>
      </c>
      <c r="R31" s="152"/>
    </row>
    <row r="33" spans="5:15">
      <c r="E33" s="61"/>
      <c r="F33" s="39"/>
      <c r="M33">
        <f>M26-M31</f>
        <v>501.5</v>
      </c>
      <c r="N33">
        <f>+N26-N31</f>
        <v>572.59999999999991</v>
      </c>
    </row>
    <row r="34" spans="5:15">
      <c r="E34" s="61"/>
      <c r="F34" s="39"/>
    </row>
    <row r="35" spans="5:15">
      <c r="E35" s="78" t="s">
        <v>107</v>
      </c>
      <c r="F35" s="88"/>
      <c r="H35" s="61"/>
      <c r="I35" s="61"/>
      <c r="J35" s="61"/>
      <c r="K35" s="61"/>
    </row>
    <row r="36" spans="5:15">
      <c r="E36" s="78"/>
      <c r="F36" s="88"/>
      <c r="H36" s="61"/>
      <c r="I36" s="61"/>
      <c r="J36" s="61"/>
      <c r="K36" s="61"/>
    </row>
    <row r="37" spans="5:15">
      <c r="E37" s="83" t="s">
        <v>34</v>
      </c>
      <c r="F37" s="88">
        <f>F17</f>
        <v>588387.11</v>
      </c>
      <c r="H37" s="61"/>
      <c r="I37" s="61"/>
      <c r="J37" s="61"/>
      <c r="K37" s="61"/>
    </row>
    <row r="38" spans="5:15" s="61" customFormat="1" ht="15" customHeight="1">
      <c r="E38" s="83" t="s">
        <v>35</v>
      </c>
      <c r="F38" s="88">
        <f>+F31</f>
        <v>0</v>
      </c>
      <c r="G38" s="8"/>
      <c r="H38" s="98"/>
      <c r="J38" s="105"/>
      <c r="K38" s="106"/>
      <c r="L38" s="84"/>
      <c r="M38"/>
    </row>
    <row r="39" spans="5:15" s="61" customFormat="1" ht="15" customHeight="1">
      <c r="E39" s="83" t="s">
        <v>36</v>
      </c>
      <c r="F39" s="88">
        <v>495000</v>
      </c>
      <c r="G39" s="86"/>
      <c r="H39" s="98"/>
      <c r="I39" s="98"/>
      <c r="K39" s="39"/>
      <c r="L39" s="84"/>
      <c r="M39"/>
    </row>
    <row r="40" spans="5:15" s="61" customFormat="1" ht="15" customHeight="1">
      <c r="E40" s="83" t="s">
        <v>37</v>
      </c>
      <c r="F40" s="88">
        <v>0</v>
      </c>
      <c r="G40" s="86"/>
      <c r="H40" s="98"/>
      <c r="I40" s="98"/>
      <c r="K40" s="13"/>
      <c r="L40" s="8"/>
      <c r="M40" s="8"/>
      <c r="O40" s="13"/>
    </row>
    <row r="41" spans="5:15" s="61" customFormat="1" ht="15" customHeight="1">
      <c r="E41" s="85" t="s">
        <v>38</v>
      </c>
      <c r="F41" s="92">
        <f>SUM(F37:F40)</f>
        <v>1083387.1099999999</v>
      </c>
      <c r="G41" s="86"/>
      <c r="H41" s="81"/>
      <c r="I41" s="8"/>
      <c r="J41" s="9"/>
      <c r="K41" s="84"/>
      <c r="L41" s="8"/>
      <c r="M41" s="61">
        <v>1789.77</v>
      </c>
      <c r="N41" s="13">
        <v>2040.52</v>
      </c>
      <c r="O41" s="13"/>
    </row>
    <row r="42" spans="5:15" s="61" customFormat="1" ht="15" customHeight="1">
      <c r="E42" s="87"/>
      <c r="F42" s="93"/>
      <c r="G42" s="86"/>
      <c r="H42" s="81"/>
      <c r="I42" s="8"/>
      <c r="J42" s="9"/>
      <c r="K42" s="84"/>
      <c r="L42" s="8"/>
      <c r="M42" s="61">
        <v>1789.77</v>
      </c>
      <c r="N42" s="13">
        <v>2040.52</v>
      </c>
      <c r="O42" s="13"/>
    </row>
    <row r="43" spans="5:15" s="61" customFormat="1" ht="15" customHeight="1">
      <c r="E43" s="89" t="s">
        <v>95</v>
      </c>
      <c r="F43" s="93">
        <v>85000</v>
      </c>
      <c r="G43" s="9"/>
      <c r="H43" s="81"/>
      <c r="I43" s="8"/>
      <c r="J43" s="9"/>
      <c r="K43" s="8"/>
      <c r="L43" s="8"/>
      <c r="M43" s="61">
        <v>3151.4</v>
      </c>
      <c r="N43" s="13">
        <v>3734</v>
      </c>
      <c r="O43" s="13"/>
    </row>
    <row r="44" spans="5:15">
      <c r="E44" s="87" t="s">
        <v>102</v>
      </c>
      <c r="F44" s="39">
        <v>1500000</v>
      </c>
      <c r="M44" s="61">
        <f>SUM(M41:M43)</f>
        <v>6730.9400000000005</v>
      </c>
      <c r="N44" s="152">
        <f>SUM(N41:N43)</f>
        <v>7815.04</v>
      </c>
      <c r="O44" s="3">
        <f>+N44-M44</f>
        <v>1084.0999999999995</v>
      </c>
    </row>
    <row r="45" spans="5:15" s="61" customFormat="1" ht="15" customHeight="1">
      <c r="E45" s="89" t="s">
        <v>103</v>
      </c>
      <c r="F45" s="93">
        <v>85000</v>
      </c>
      <c r="G45" s="9"/>
      <c r="H45" s="81"/>
      <c r="I45" s="8"/>
      <c r="J45" s="9"/>
      <c r="K45" s="8"/>
      <c r="L45" s="8"/>
      <c r="N45" s="61">
        <f>+N44*2</f>
        <v>15630.08</v>
      </c>
      <c r="O45" s="13"/>
    </row>
    <row r="46" spans="5:15" s="61" customFormat="1" ht="15" customHeight="1">
      <c r="E46" s="89" t="s">
        <v>104</v>
      </c>
      <c r="F46" s="93">
        <v>60000</v>
      </c>
      <c r="G46" s="9"/>
      <c r="H46" s="81"/>
      <c r="I46" s="8"/>
      <c r="J46" s="9"/>
      <c r="K46" s="8"/>
      <c r="L46" s="8"/>
      <c r="M46"/>
      <c r="O46" s="13"/>
    </row>
    <row r="47" spans="5:15" s="61" customFormat="1" ht="15" customHeight="1">
      <c r="E47" s="89" t="s">
        <v>105</v>
      </c>
      <c r="F47" s="93">
        <v>46406.75</v>
      </c>
      <c r="G47" s="9"/>
      <c r="H47" s="81"/>
      <c r="I47" s="8"/>
      <c r="J47" s="9"/>
      <c r="K47" s="8"/>
      <c r="L47" s="8"/>
      <c r="O47" s="13"/>
    </row>
    <row r="48" spans="5:15" s="61" customFormat="1" ht="15" customHeight="1">
      <c r="E48" s="91" t="s">
        <v>24</v>
      </c>
      <c r="F48" s="95">
        <f>65000+15000+100000</f>
        <v>180000</v>
      </c>
      <c r="G48" s="9"/>
      <c r="H48" s="80"/>
      <c r="I48" s="8"/>
      <c r="J48" s="8"/>
      <c r="K48" s="8"/>
      <c r="L48" s="8"/>
      <c r="O48" s="13"/>
    </row>
    <row r="49" spans="5:6" s="61" customFormat="1" ht="15" customHeight="1">
      <c r="E49" s="91" t="s">
        <v>39</v>
      </c>
      <c r="F49" s="95">
        <v>2000</v>
      </c>
    </row>
    <row r="50" spans="5:6" s="61" customFormat="1" ht="15" customHeight="1">
      <c r="E50" s="91" t="s">
        <v>22</v>
      </c>
      <c r="F50" s="95">
        <v>40000</v>
      </c>
    </row>
    <row r="51" spans="5:6" s="61" customFormat="1" ht="15" customHeight="1">
      <c r="E51" s="91" t="s">
        <v>69</v>
      </c>
      <c r="F51" s="95">
        <v>60000</v>
      </c>
    </row>
    <row r="52" spans="5:6" s="61" customFormat="1" ht="15" customHeight="1">
      <c r="E52" s="91" t="s">
        <v>40</v>
      </c>
      <c r="F52" s="93">
        <v>60000</v>
      </c>
    </row>
    <row r="53" spans="5:6" s="61" customFormat="1" ht="15" customHeight="1">
      <c r="E53" s="96" t="s">
        <v>41</v>
      </c>
      <c r="F53" s="97">
        <f>SUM(F43:F52)</f>
        <v>2118406.75</v>
      </c>
    </row>
    <row r="54" spans="5:6" s="61" customFormat="1" ht="15" customHeight="1">
      <c r="E54" s="96" t="s">
        <v>42</v>
      </c>
      <c r="F54" s="97">
        <f>F41-F53</f>
        <v>-1035019.6400000001</v>
      </c>
    </row>
    <row r="55" spans="5:6" s="61" customFormat="1">
      <c r="E55" s="83"/>
      <c r="F55" s="151"/>
    </row>
    <row r="56" spans="5:6" s="61" customFormat="1">
      <c r="E56" s="83" t="s">
        <v>43</v>
      </c>
      <c r="F56" s="151">
        <f>43800+180000</f>
        <v>223800</v>
      </c>
    </row>
    <row r="57" spans="5:6" s="61" customFormat="1">
      <c r="E57" s="83" t="s">
        <v>44</v>
      </c>
      <c r="F57" s="151">
        <f>100000+350000</f>
        <v>450000</v>
      </c>
    </row>
    <row r="58" spans="5:6" s="61" customFormat="1">
      <c r="E58" s="83" t="s">
        <v>91</v>
      </c>
      <c r="F58" s="95">
        <f>+E31</f>
        <v>0</v>
      </c>
    </row>
    <row r="59" spans="5:6" s="61" customFormat="1">
      <c r="E59" s="96" t="s">
        <v>46</v>
      </c>
      <c r="F59" s="99">
        <f>SUM(F56:F58)</f>
        <v>673800</v>
      </c>
    </row>
    <row r="60" spans="5:6" s="61" customFormat="1">
      <c r="E60" s="83"/>
      <c r="F60" s="151"/>
    </row>
    <row r="61" spans="5:6" s="61" customFormat="1">
      <c r="E61" s="96" t="s">
        <v>47</v>
      </c>
      <c r="F61" s="99">
        <f>F54-F59</f>
        <v>-1708819.6400000001</v>
      </c>
    </row>
  </sheetData>
  <mergeCells count="22"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  <mergeCell ref="B29:D29"/>
    <mergeCell ref="B30:D30"/>
    <mergeCell ref="B31:D31"/>
    <mergeCell ref="G24:K24"/>
    <mergeCell ref="B25:D25"/>
    <mergeCell ref="B26:D26"/>
    <mergeCell ref="G26:H26"/>
    <mergeCell ref="B27:D27"/>
    <mergeCell ref="B28:D28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E1556-DA3D-4D6C-B1AC-4BED37594571}">
  <dimension ref="B6:P60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79" customWidth="1"/>
    <col min="7" max="7" width="15.7265625" customWidth="1"/>
    <col min="8" max="8" width="19.7265625" customWidth="1"/>
    <col min="9" max="9" width="1.453125" customWidth="1"/>
    <col min="10" max="10" width="24.26953125" customWidth="1"/>
    <col min="11" max="11" width="22.26953125" bestFit="1" customWidth="1"/>
    <col min="12" max="12" width="20.26953125" bestFit="1" customWidth="1"/>
    <col min="13" max="13" width="16.269531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7"/>
      <c r="G6" s="5"/>
      <c r="H6" s="5"/>
      <c r="I6" s="5"/>
      <c r="J6" s="5"/>
      <c r="K6" s="5"/>
    </row>
    <row r="7" spans="2:11">
      <c r="B7" s="1"/>
      <c r="C7" s="1"/>
      <c r="D7" s="1"/>
      <c r="E7" s="1"/>
      <c r="F7" s="2"/>
      <c r="G7" s="1"/>
      <c r="H7" s="1"/>
      <c r="I7" s="1"/>
      <c r="J7" s="1"/>
      <c r="K7" s="1"/>
    </row>
    <row r="8" spans="2:11">
      <c r="B8" s="1"/>
      <c r="C8" s="1"/>
      <c r="D8" s="1"/>
      <c r="E8" s="1"/>
      <c r="F8" s="2"/>
      <c r="G8" s="1"/>
      <c r="H8" s="1"/>
      <c r="I8" s="4"/>
      <c r="J8" s="1"/>
      <c r="K8" s="1"/>
    </row>
    <row r="9" spans="2:11">
      <c r="B9" s="1"/>
      <c r="C9" s="1"/>
      <c r="D9" s="1"/>
      <c r="E9" s="1"/>
      <c r="F9" s="2"/>
      <c r="G9" s="1"/>
      <c r="H9" s="1"/>
      <c r="I9" s="4"/>
      <c r="J9" s="1"/>
      <c r="K9" s="1"/>
    </row>
    <row r="10" spans="2:11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2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2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328455.98999999993</v>
      </c>
      <c r="F14" s="107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266217.46999999997</v>
      </c>
      <c r="F15" s="108">
        <f>E15+E16+E17</f>
        <v>328455.98999999993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30409.35</v>
      </c>
      <c r="F16" s="108">
        <v>90000</v>
      </c>
      <c r="G16" s="22">
        <v>12888.39</v>
      </c>
      <c r="H16" s="23" t="s">
        <v>8</v>
      </c>
      <c r="I16" s="24"/>
      <c r="J16" s="25">
        <v>13555.5</v>
      </c>
      <c r="K16" s="26" t="s">
        <v>9</v>
      </c>
    </row>
    <row r="17" spans="2:14">
      <c r="B17" s="352" t="s">
        <v>6</v>
      </c>
      <c r="C17" s="353"/>
      <c r="D17" s="354"/>
      <c r="E17" s="28">
        <f>G16+G17+G18</f>
        <v>31829.170000000002</v>
      </c>
      <c r="F17" s="108">
        <f>F15-F16</f>
        <v>238455.98999999993</v>
      </c>
      <c r="G17" s="22">
        <v>11260.62</v>
      </c>
      <c r="H17" s="29" t="s">
        <v>10</v>
      </c>
      <c r="I17" s="30"/>
      <c r="J17" s="25">
        <v>185075.13</v>
      </c>
      <c r="K17" s="31" t="s">
        <v>10</v>
      </c>
      <c r="L17" s="13"/>
    </row>
    <row r="18" spans="2:14">
      <c r="B18" s="355" t="s">
        <v>11</v>
      </c>
      <c r="C18" s="356"/>
      <c r="D18" s="357"/>
      <c r="E18" s="20">
        <f>G28+G30+G29+G27</f>
        <v>154612.43</v>
      </c>
      <c r="F18" s="109"/>
      <c r="G18" s="22">
        <v>7680.16</v>
      </c>
      <c r="H18" s="29" t="s">
        <v>12</v>
      </c>
      <c r="I18" s="30"/>
      <c r="J18" s="25">
        <v>13004.55</v>
      </c>
      <c r="K18" s="31" t="s">
        <v>12</v>
      </c>
      <c r="L18" s="32"/>
    </row>
    <row r="19" spans="2:14">
      <c r="B19" s="344" t="s">
        <v>13</v>
      </c>
      <c r="C19" s="345"/>
      <c r="D19" s="346"/>
      <c r="E19" s="20">
        <v>19768102.170000002</v>
      </c>
      <c r="F19" s="108"/>
      <c r="G19" s="33"/>
      <c r="H19" s="34"/>
      <c r="I19" s="30"/>
      <c r="J19" s="25">
        <v>54582.29</v>
      </c>
      <c r="K19" s="31" t="s">
        <v>14</v>
      </c>
      <c r="L19" s="13"/>
    </row>
    <row r="20" spans="2:14">
      <c r="B20" s="358" t="s">
        <v>15</v>
      </c>
      <c r="C20" s="359"/>
      <c r="D20" s="360"/>
      <c r="E20" s="35">
        <f>SUM(E21:E22)</f>
        <v>0</v>
      </c>
      <c r="F20" s="14"/>
      <c r="G20" s="361" t="s">
        <v>16</v>
      </c>
      <c r="H20" s="362"/>
      <c r="I20" s="36"/>
      <c r="J20" s="37"/>
      <c r="K20" s="38"/>
      <c r="L20" s="39"/>
    </row>
    <row r="21" spans="2:14">
      <c r="B21" s="40"/>
      <c r="C21" s="41"/>
      <c r="D21" s="41"/>
      <c r="E21" s="43">
        <v>0</v>
      </c>
      <c r="F21" s="14"/>
      <c r="G21" s="44">
        <v>18441.96</v>
      </c>
      <c r="H21" s="29" t="s">
        <v>10</v>
      </c>
      <c r="I21" s="30"/>
      <c r="J21" s="37"/>
      <c r="K21" s="45"/>
      <c r="L21" s="39"/>
    </row>
    <row r="22" spans="2:14">
      <c r="B22" s="40"/>
      <c r="C22" s="41"/>
      <c r="D22" s="42"/>
      <c r="E22" s="43"/>
      <c r="F22" s="14"/>
      <c r="G22" s="44">
        <v>11967.39</v>
      </c>
      <c r="H22" s="29" t="s">
        <v>18</v>
      </c>
      <c r="I22" s="30"/>
      <c r="J22" s="50"/>
      <c r="K22" s="38"/>
      <c r="L22" s="39"/>
    </row>
    <row r="23" spans="2:14" ht="15" thickBot="1">
      <c r="B23" s="46" t="s">
        <v>17</v>
      </c>
      <c r="C23" s="47"/>
      <c r="D23" s="48"/>
      <c r="E23" s="49">
        <v>56148.49</v>
      </c>
      <c r="F23" s="14"/>
      <c r="G23" s="51"/>
      <c r="H23" s="34"/>
      <c r="I23" s="30"/>
      <c r="J23" s="52"/>
      <c r="K23" s="53"/>
      <c r="L23" s="39"/>
      <c r="N23" t="s">
        <v>20</v>
      </c>
    </row>
    <row r="24" spans="2:14" ht="15" thickBot="1">
      <c r="B24" s="366" t="s">
        <v>19</v>
      </c>
      <c r="C24" s="367"/>
      <c r="D24" s="368"/>
      <c r="E24" s="49">
        <v>0</v>
      </c>
      <c r="F24" s="8"/>
      <c r="G24" s="331" t="s">
        <v>21</v>
      </c>
      <c r="H24" s="332"/>
      <c r="I24" s="332"/>
      <c r="J24" s="332"/>
      <c r="K24" s="333"/>
      <c r="L24" s="39"/>
    </row>
    <row r="25" spans="2:14">
      <c r="B25" s="344" t="s">
        <v>50</v>
      </c>
      <c r="C25" s="345"/>
      <c r="D25" s="346"/>
      <c r="E25" s="49">
        <v>0</v>
      </c>
      <c r="F25" s="8"/>
      <c r="G25" s="54"/>
      <c r="H25" s="55"/>
      <c r="I25" s="56"/>
      <c r="J25" s="57"/>
      <c r="K25" s="58"/>
      <c r="L25" s="39"/>
    </row>
    <row r="26" spans="2:14">
      <c r="B26" s="344" t="s">
        <v>22</v>
      </c>
      <c r="C26" s="345"/>
      <c r="D26" s="346"/>
      <c r="E26" s="49">
        <v>0</v>
      </c>
      <c r="F26" s="8"/>
      <c r="G26" s="347" t="s">
        <v>5</v>
      </c>
      <c r="H26" s="348"/>
      <c r="I26" s="59"/>
      <c r="J26" s="60"/>
      <c r="K26" s="45"/>
      <c r="L26" s="61"/>
    </row>
    <row r="27" spans="2:14">
      <c r="B27" s="344" t="s">
        <v>23</v>
      </c>
      <c r="C27" s="345"/>
      <c r="D27" s="346"/>
      <c r="E27" s="49">
        <v>0</v>
      </c>
      <c r="F27" s="9">
        <v>0</v>
      </c>
      <c r="G27" s="22">
        <f>11526.85-11500</f>
        <v>26.850000000000364</v>
      </c>
      <c r="H27" s="62" t="s">
        <v>9</v>
      </c>
      <c r="I27" s="59"/>
      <c r="J27" s="60"/>
      <c r="K27" s="45"/>
      <c r="L27" s="61"/>
    </row>
    <row r="28" spans="2:14">
      <c r="B28" s="344" t="s">
        <v>24</v>
      </c>
      <c r="C28" s="345"/>
      <c r="D28" s="346"/>
      <c r="E28" s="49">
        <v>0</v>
      </c>
      <c r="F28" s="14">
        <v>35000</v>
      </c>
      <c r="G28" s="22">
        <v>37006.019999999997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4">
      <c r="B29" s="344" t="s">
        <v>25</v>
      </c>
      <c r="C29" s="345"/>
      <c r="D29" s="346"/>
      <c r="E29" s="49">
        <v>0</v>
      </c>
      <c r="F29" s="14">
        <v>1000</v>
      </c>
      <c r="G29" s="67">
        <v>1258.1300000000001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4" ht="15" thickBot="1">
      <c r="B30" s="363" t="s">
        <v>29</v>
      </c>
      <c r="C30" s="364"/>
      <c r="D30" s="365"/>
      <c r="E30" s="66">
        <v>0</v>
      </c>
      <c r="F30" s="14">
        <v>115000</v>
      </c>
      <c r="G30" s="71">
        <v>116321.43</v>
      </c>
      <c r="H30" s="72" t="s">
        <v>12</v>
      </c>
      <c r="I30" s="73"/>
      <c r="J30" s="74" t="s">
        <v>32</v>
      </c>
      <c r="K30" s="75" t="s">
        <v>33</v>
      </c>
      <c r="L30" s="61"/>
    </row>
    <row r="31" spans="2:14">
      <c r="B31" s="69"/>
      <c r="C31" s="69"/>
      <c r="D31" s="70"/>
      <c r="E31" s="101"/>
      <c r="F31" s="14">
        <f>SUM(F27:F30)</f>
        <v>151000</v>
      </c>
      <c r="G31" s="76"/>
      <c r="H31" s="76"/>
      <c r="I31" s="76"/>
      <c r="J31" s="76"/>
      <c r="K31" s="1"/>
      <c r="L31" s="77"/>
    </row>
    <row r="34" spans="5:7">
      <c r="E34" s="110" t="s">
        <v>48</v>
      </c>
      <c r="F34" s="110"/>
    </row>
    <row r="35" spans="5:7">
      <c r="E35" s="110"/>
      <c r="F35" s="110"/>
    </row>
    <row r="36" spans="5:7">
      <c r="E36" s="82" t="s">
        <v>34</v>
      </c>
      <c r="F36" s="86">
        <f>F17</f>
        <v>238455.98999999993</v>
      </c>
    </row>
    <row r="37" spans="5:7">
      <c r="E37" s="82" t="s">
        <v>35</v>
      </c>
      <c r="F37" s="86">
        <f>+F31</f>
        <v>151000</v>
      </c>
    </row>
    <row r="38" spans="5:7" s="61" customFormat="1" ht="15" customHeight="1">
      <c r="E38" s="82" t="s">
        <v>36</v>
      </c>
      <c r="F38" s="86">
        <v>0</v>
      </c>
      <c r="G38" s="8"/>
    </row>
    <row r="39" spans="5:7" s="61" customFormat="1" ht="15" customHeight="1">
      <c r="E39" s="82" t="s">
        <v>37</v>
      </c>
      <c r="F39" s="86">
        <v>0</v>
      </c>
      <c r="G39" s="86"/>
    </row>
    <row r="40" spans="5:7" s="61" customFormat="1" ht="15" customHeight="1">
      <c r="E40" s="112" t="s">
        <v>38</v>
      </c>
      <c r="F40" s="111">
        <f>SUM(F36:F39)</f>
        <v>389455.98999999993</v>
      </c>
      <c r="G40" s="86"/>
    </row>
    <row r="41" spans="5:7" s="61" customFormat="1" ht="15" customHeight="1">
      <c r="E41" s="113"/>
      <c r="F41" s="94"/>
      <c r="G41" s="86"/>
    </row>
    <row r="42" spans="5:7" s="61" customFormat="1" ht="15" customHeight="1">
      <c r="E42" s="114" t="s">
        <v>49</v>
      </c>
      <c r="F42" s="94">
        <v>75000</v>
      </c>
      <c r="G42" s="9"/>
    </row>
    <row r="43" spans="5:7" s="61" customFormat="1" ht="15" customHeight="1">
      <c r="E43" s="113" t="s">
        <v>51</v>
      </c>
      <c r="F43" s="94">
        <v>0</v>
      </c>
      <c r="G43" s="9"/>
    </row>
    <row r="44" spans="5:7" s="61" customFormat="1" ht="15" customHeight="1">
      <c r="E44" s="115" t="s">
        <v>53</v>
      </c>
      <c r="F44" s="94">
        <v>0</v>
      </c>
      <c r="G44" s="9"/>
    </row>
    <row r="45" spans="5:7" s="61" customFormat="1" ht="15" customHeight="1">
      <c r="E45" s="116" t="s">
        <v>24</v>
      </c>
      <c r="F45" s="117">
        <v>0</v>
      </c>
      <c r="G45" s="94">
        <v>810000</v>
      </c>
    </row>
    <row r="46" spans="5:7" s="61" customFormat="1" ht="15" customHeight="1">
      <c r="E46" s="116" t="s">
        <v>39</v>
      </c>
      <c r="F46" s="117">
        <v>2000</v>
      </c>
      <c r="G46" s="9"/>
    </row>
    <row r="47" spans="5:7" s="61" customFormat="1" ht="15" customHeight="1">
      <c r="E47" s="116" t="s">
        <v>22</v>
      </c>
      <c r="F47" s="117">
        <f>70000-45000</f>
        <v>25000</v>
      </c>
      <c r="G47" s="9"/>
    </row>
    <row r="48" spans="5:7" s="61" customFormat="1" ht="15" customHeight="1">
      <c r="E48" s="116" t="s">
        <v>52</v>
      </c>
      <c r="F48" s="117">
        <v>32000</v>
      </c>
      <c r="G48" s="9"/>
    </row>
    <row r="49" spans="5:7" s="61" customFormat="1" ht="15" customHeight="1">
      <c r="E49" s="116" t="s">
        <v>54</v>
      </c>
      <c r="F49" s="117">
        <v>650000</v>
      </c>
      <c r="G49" s="9"/>
    </row>
    <row r="50" spans="5:7" s="61" customFormat="1" ht="15" customHeight="1">
      <c r="E50" s="116" t="s">
        <v>55</v>
      </c>
      <c r="F50" s="117">
        <v>290000</v>
      </c>
      <c r="G50" s="9"/>
    </row>
    <row r="51" spans="5:7" s="61" customFormat="1" ht="15" customHeight="1">
      <c r="E51" s="116" t="s">
        <v>40</v>
      </c>
      <c r="F51" s="94">
        <f>170000-15000</f>
        <v>155000</v>
      </c>
      <c r="G51" s="9"/>
    </row>
    <row r="52" spans="5:7" s="61" customFormat="1" ht="15" customHeight="1">
      <c r="E52" s="118" t="s">
        <v>41</v>
      </c>
      <c r="F52" s="119">
        <f>SUM(F42:F51)</f>
        <v>1229000</v>
      </c>
      <c r="G52" s="82"/>
    </row>
    <row r="53" spans="5:7" s="61" customFormat="1" ht="15" customHeight="1">
      <c r="E53" s="118" t="s">
        <v>42</v>
      </c>
      <c r="F53" s="119">
        <f>F40-F52</f>
        <v>-839544.01</v>
      </c>
      <c r="G53" s="82"/>
    </row>
    <row r="54" spans="5:7" s="61" customFormat="1" ht="15" customHeight="1">
      <c r="E54" s="82"/>
      <c r="F54" s="82"/>
      <c r="G54" s="8"/>
    </row>
    <row r="55" spans="5:7" s="61" customFormat="1">
      <c r="E55" s="82" t="s">
        <v>43</v>
      </c>
      <c r="F55" s="81">
        <f>43800+180000</f>
        <v>223800</v>
      </c>
      <c r="G55" s="8"/>
    </row>
    <row r="56" spans="5:7" s="61" customFormat="1">
      <c r="E56" s="82" t="s">
        <v>44</v>
      </c>
      <c r="F56" s="81">
        <v>700000</v>
      </c>
      <c r="G56" s="8"/>
    </row>
    <row r="57" spans="5:7" s="61" customFormat="1">
      <c r="E57" s="82" t="s">
        <v>45</v>
      </c>
      <c r="F57" s="117">
        <v>0</v>
      </c>
      <c r="G57" s="8"/>
    </row>
    <row r="58" spans="5:7" s="61" customFormat="1">
      <c r="E58" s="118" t="s">
        <v>46</v>
      </c>
      <c r="F58" s="120">
        <f>SUM(F55:F57)</f>
        <v>923800</v>
      </c>
      <c r="G58" s="8"/>
    </row>
    <row r="59" spans="5:7" s="61" customFormat="1">
      <c r="E59" s="82"/>
      <c r="F59" s="82"/>
      <c r="G59" s="8"/>
    </row>
    <row r="60" spans="5:7" s="61" customFormat="1">
      <c r="E60" s="118" t="s">
        <v>47</v>
      </c>
      <c r="F60" s="121">
        <f>F53-F58</f>
        <v>-1763344.01</v>
      </c>
      <c r="G60" s="8"/>
    </row>
  </sheetData>
  <mergeCells count="22"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  <mergeCell ref="B28:D28"/>
    <mergeCell ref="B29:D29"/>
    <mergeCell ref="B30:D30"/>
    <mergeCell ref="B24:D24"/>
    <mergeCell ref="G24:K24"/>
    <mergeCell ref="B25:D25"/>
    <mergeCell ref="B26:D26"/>
    <mergeCell ref="G26:H26"/>
    <mergeCell ref="B27:D27"/>
  </mergeCells>
  <pageMargins left="0.7" right="0.7" top="0.75" bottom="0.75" header="0.3" footer="0.3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B49DD-8399-4106-BCDF-6C7820C9E033}">
  <dimension ref="B6:P61"/>
  <sheetViews>
    <sheetView showGridLines="0" topLeftCell="A28" workbookViewId="0">
      <selection activeCell="F47" sqref="F47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4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8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1791516.46</v>
      </c>
      <c r="F14" s="149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1680289.97</v>
      </c>
      <c r="F15" s="153">
        <f>E15+E16+E17</f>
        <v>1791516.46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62240.75</v>
      </c>
      <c r="F16" s="153">
        <v>90000</v>
      </c>
      <c r="G16" s="22">
        <v>10468.790000000001</v>
      </c>
      <c r="H16" s="23" t="s">
        <v>8</v>
      </c>
      <c r="I16" s="24"/>
      <c r="J16" s="25">
        <v>10658.64</v>
      </c>
      <c r="K16" s="26" t="s">
        <v>9</v>
      </c>
    </row>
    <row r="17" spans="2:13">
      <c r="B17" s="352" t="s">
        <v>6</v>
      </c>
      <c r="C17" s="353"/>
      <c r="D17" s="354"/>
      <c r="E17" s="28">
        <f>G16+G17+G18</f>
        <v>48985.740000000005</v>
      </c>
      <c r="F17" s="153">
        <f>F15-F16</f>
        <v>1701516.46</v>
      </c>
      <c r="G17" s="22">
        <v>15633.09</v>
      </c>
      <c r="H17" s="29" t="s">
        <v>10</v>
      </c>
      <c r="I17" s="30"/>
      <c r="J17" s="25">
        <v>246756.74</v>
      </c>
      <c r="K17" s="31" t="s">
        <v>10</v>
      </c>
      <c r="L17" s="13"/>
    </row>
    <row r="18" spans="2:13">
      <c r="B18" s="355" t="s">
        <v>11</v>
      </c>
      <c r="C18" s="356"/>
      <c r="D18" s="357"/>
      <c r="E18" s="20">
        <f>G28+G30+G29+G27</f>
        <v>5710.46</v>
      </c>
      <c r="F18" s="153"/>
      <c r="G18" s="22">
        <v>22883.86</v>
      </c>
      <c r="H18" s="29" t="s">
        <v>12</v>
      </c>
      <c r="I18" s="30"/>
      <c r="J18" s="25">
        <v>1318621.8700000001</v>
      </c>
      <c r="K18" s="31" t="s">
        <v>12</v>
      </c>
      <c r="L18" s="32"/>
    </row>
    <row r="19" spans="2:13">
      <c r="B19" s="344" t="s">
        <v>13</v>
      </c>
      <c r="C19" s="345"/>
      <c r="D19" s="346"/>
      <c r="E19" s="20">
        <f>13343880.41-E22</f>
        <v>13305600.41</v>
      </c>
      <c r="F19" s="153"/>
      <c r="G19" s="33"/>
      <c r="H19" s="34"/>
      <c r="I19" s="30"/>
      <c r="J19" s="25">
        <v>104252.72</v>
      </c>
      <c r="K19" s="31" t="s">
        <v>14</v>
      </c>
      <c r="L19" s="13"/>
    </row>
    <row r="20" spans="2:13">
      <c r="B20" s="358" t="s">
        <v>15</v>
      </c>
      <c r="C20" s="359"/>
      <c r="D20" s="360"/>
      <c r="E20" s="35">
        <f>SUM(E21:E23)</f>
        <v>63600.22</v>
      </c>
      <c r="F20" s="148"/>
      <c r="G20" s="361" t="s">
        <v>16</v>
      </c>
      <c r="H20" s="362"/>
      <c r="I20" s="36"/>
      <c r="J20" s="37"/>
      <c r="K20" s="38"/>
      <c r="L20" s="39"/>
      <c r="M20">
        <f>46*30</f>
        <v>1380</v>
      </c>
    </row>
    <row r="21" spans="2:13">
      <c r="B21" s="40"/>
      <c r="C21" s="41"/>
      <c r="D21" s="122" t="s">
        <v>108</v>
      </c>
      <c r="E21" s="43">
        <v>25320.22</v>
      </c>
      <c r="F21" s="148"/>
      <c r="G21" s="44">
        <v>10289.36</v>
      </c>
      <c r="H21" s="29" t="s">
        <v>10</v>
      </c>
      <c r="I21" s="30"/>
      <c r="J21" s="37"/>
      <c r="K21" s="45"/>
      <c r="L21" s="39"/>
    </row>
    <row r="22" spans="2:13">
      <c r="B22" s="40"/>
      <c r="C22" s="41"/>
      <c r="D22" s="122" t="s">
        <v>109</v>
      </c>
      <c r="E22" s="43">
        <v>38280</v>
      </c>
      <c r="F22" s="148"/>
      <c r="G22" s="44">
        <v>51951.39</v>
      </c>
      <c r="H22" s="29" t="s">
        <v>18</v>
      </c>
      <c r="I22" s="30"/>
      <c r="J22" s="50"/>
      <c r="K22" s="38"/>
      <c r="L22" s="39"/>
    </row>
    <row r="23" spans="2:13" ht="15" thickBot="1">
      <c r="B23" s="40"/>
      <c r="C23" s="41"/>
      <c r="D23" s="122"/>
      <c r="E23" s="43">
        <v>0</v>
      </c>
      <c r="F23" s="148"/>
      <c r="G23" s="51"/>
      <c r="H23" s="34"/>
      <c r="I23" s="30"/>
      <c r="J23" s="52"/>
      <c r="K23" s="53"/>
      <c r="L23" s="39"/>
    </row>
    <row r="24" spans="2:13" ht="15" thickBot="1">
      <c r="B24" s="46" t="s">
        <v>17</v>
      </c>
      <c r="C24" s="47"/>
      <c r="D24" s="48"/>
      <c r="E24" s="49">
        <v>0</v>
      </c>
      <c r="F24" s="154"/>
      <c r="G24" s="331" t="s">
        <v>21</v>
      </c>
      <c r="H24" s="332"/>
      <c r="I24" s="332"/>
      <c r="J24" s="332"/>
      <c r="K24" s="333"/>
      <c r="L24" s="39"/>
    </row>
    <row r="25" spans="2:13">
      <c r="B25" s="366" t="s">
        <v>77</v>
      </c>
      <c r="C25" s="367"/>
      <c r="D25" s="368"/>
      <c r="E25" s="49">
        <v>1500000</v>
      </c>
      <c r="F25" s="154"/>
      <c r="G25" s="54"/>
      <c r="H25" s="55"/>
      <c r="I25" s="56"/>
      <c r="J25" s="57"/>
      <c r="K25" s="58"/>
      <c r="L25" s="39"/>
    </row>
    <row r="26" spans="2:13">
      <c r="B26" s="344" t="s">
        <v>78</v>
      </c>
      <c r="C26" s="345"/>
      <c r="D26" s="346"/>
      <c r="E26" s="49">
        <v>75000</v>
      </c>
      <c r="F26" s="154"/>
      <c r="G26" s="347" t="s">
        <v>5</v>
      </c>
      <c r="H26" s="348"/>
      <c r="I26" s="59"/>
      <c r="J26" s="60"/>
      <c r="K26" s="45"/>
      <c r="L26" s="61"/>
    </row>
    <row r="27" spans="2:13">
      <c r="B27" s="344" t="s">
        <v>22</v>
      </c>
      <c r="C27" s="345"/>
      <c r="D27" s="346"/>
      <c r="E27" s="49">
        <v>9744.4</v>
      </c>
      <c r="F27" s="148">
        <v>0</v>
      </c>
      <c r="G27" s="22">
        <f>11607.09-11500</f>
        <v>107.09000000000015</v>
      </c>
      <c r="H27" s="62" t="s">
        <v>9</v>
      </c>
      <c r="I27" s="59"/>
      <c r="J27" s="60"/>
      <c r="K27" s="45"/>
      <c r="L27" s="61"/>
    </row>
    <row r="28" spans="2:13">
      <c r="B28" s="344" t="s">
        <v>50</v>
      </c>
      <c r="C28" s="345"/>
      <c r="D28" s="346"/>
      <c r="E28" s="49">
        <v>60000</v>
      </c>
      <c r="F28" s="148">
        <v>0</v>
      </c>
      <c r="G28" s="22">
        <v>2084.42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3">
      <c r="B29" s="344" t="s">
        <v>24</v>
      </c>
      <c r="C29" s="345"/>
      <c r="D29" s="346"/>
      <c r="E29" s="49">
        <v>180000</v>
      </c>
      <c r="F29" s="148">
        <v>0</v>
      </c>
      <c r="G29" s="67">
        <v>1330.32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3" ht="15" thickBot="1">
      <c r="B30" s="344" t="s">
        <v>25</v>
      </c>
      <c r="C30" s="345"/>
      <c r="D30" s="346"/>
      <c r="E30" s="49">
        <v>0</v>
      </c>
      <c r="F30" s="148">
        <v>0</v>
      </c>
      <c r="G30" s="71">
        <v>2188.63</v>
      </c>
      <c r="H30" s="72" t="s">
        <v>12</v>
      </c>
      <c r="I30" s="73"/>
      <c r="J30" s="74" t="s">
        <v>32</v>
      </c>
      <c r="K30" s="75" t="s">
        <v>33</v>
      </c>
      <c r="L30" s="61"/>
    </row>
    <row r="31" spans="2:13" ht="15" thickBot="1">
      <c r="B31" s="363" t="s">
        <v>29</v>
      </c>
      <c r="C31" s="364"/>
      <c r="D31" s="365"/>
      <c r="E31" s="66">
        <v>0</v>
      </c>
      <c r="F31" s="154">
        <f>SUM(F27:F30)</f>
        <v>0</v>
      </c>
      <c r="G31" s="76"/>
      <c r="H31" s="76"/>
      <c r="I31" s="76"/>
      <c r="J31" s="76"/>
      <c r="K31" s="1"/>
      <c r="L31" s="77"/>
    </row>
    <row r="35" spans="5:6">
      <c r="E35" s="78" t="s">
        <v>107</v>
      </c>
      <c r="F35" s="88"/>
    </row>
    <row r="36" spans="5:6">
      <c r="E36" s="78"/>
      <c r="F36" s="88"/>
    </row>
    <row r="37" spans="5:6">
      <c r="E37" s="83" t="s">
        <v>34</v>
      </c>
      <c r="F37" s="88">
        <f>F17</f>
        <v>1701516.46</v>
      </c>
    </row>
    <row r="38" spans="5:6" s="61" customFormat="1" ht="15" customHeight="1">
      <c r="E38" s="83" t="s">
        <v>35</v>
      </c>
      <c r="F38" s="88">
        <f>+F31</f>
        <v>0</v>
      </c>
    </row>
    <row r="39" spans="5:6" s="61" customFormat="1" ht="15" customHeight="1">
      <c r="E39" s="83" t="s">
        <v>36</v>
      </c>
      <c r="F39" s="88">
        <v>495000</v>
      </c>
    </row>
    <row r="40" spans="5:6" s="61" customFormat="1" ht="15" customHeight="1">
      <c r="E40" s="83" t="s">
        <v>37</v>
      </c>
      <c r="F40" s="88">
        <v>0</v>
      </c>
    </row>
    <row r="41" spans="5:6" s="61" customFormat="1" ht="15" customHeight="1">
      <c r="E41" s="85" t="s">
        <v>38</v>
      </c>
      <c r="F41" s="92">
        <f>SUM(F37:F40)</f>
        <v>2196516.46</v>
      </c>
    </row>
    <row r="42" spans="5:6" s="61" customFormat="1" ht="15" customHeight="1">
      <c r="E42" s="87"/>
      <c r="F42" s="93"/>
    </row>
    <row r="43" spans="5:6" s="61" customFormat="1" ht="15" customHeight="1">
      <c r="E43" s="89" t="s">
        <v>95</v>
      </c>
      <c r="F43" s="93">
        <v>85000</v>
      </c>
    </row>
    <row r="44" spans="5:6">
      <c r="E44" s="87" t="s">
        <v>102</v>
      </c>
      <c r="F44" s="39">
        <v>1500000</v>
      </c>
    </row>
    <row r="45" spans="5:6" s="61" customFormat="1" ht="15" customHeight="1">
      <c r="E45" s="89" t="s">
        <v>103</v>
      </c>
      <c r="F45" s="93">
        <v>75000</v>
      </c>
    </row>
    <row r="46" spans="5:6" s="61" customFormat="1" ht="15" customHeight="1">
      <c r="E46" s="89" t="s">
        <v>104</v>
      </c>
      <c r="F46" s="93">
        <v>60000</v>
      </c>
    </row>
    <row r="47" spans="5:6" s="61" customFormat="1" ht="15" customHeight="1">
      <c r="E47" s="89" t="s">
        <v>105</v>
      </c>
      <c r="F47" s="93">
        <v>0</v>
      </c>
    </row>
    <row r="48" spans="5:6" s="61" customFormat="1" ht="15" customHeight="1">
      <c r="E48" s="91" t="s">
        <v>24</v>
      </c>
      <c r="F48" s="95">
        <f>65000+15000+100000</f>
        <v>180000</v>
      </c>
    </row>
    <row r="49" spans="5:6" s="61" customFormat="1" ht="15" customHeight="1">
      <c r="E49" s="91" t="s">
        <v>39</v>
      </c>
      <c r="F49" s="95">
        <v>2000</v>
      </c>
    </row>
    <row r="50" spans="5:6" s="61" customFormat="1" ht="15" customHeight="1">
      <c r="E50" s="91" t="s">
        <v>22</v>
      </c>
      <c r="F50" s="95">
        <v>40000</v>
      </c>
    </row>
    <row r="51" spans="5:6" s="61" customFormat="1" ht="15" customHeight="1">
      <c r="E51" s="91" t="s">
        <v>69</v>
      </c>
      <c r="F51" s="95">
        <v>60000</v>
      </c>
    </row>
    <row r="52" spans="5:6" s="61" customFormat="1" ht="15" customHeight="1">
      <c r="E52" s="91" t="s">
        <v>40</v>
      </c>
      <c r="F52" s="93">
        <f>60000-10000</f>
        <v>50000</v>
      </c>
    </row>
    <row r="53" spans="5:6" s="61" customFormat="1" ht="15" customHeight="1">
      <c r="E53" s="96" t="s">
        <v>41</v>
      </c>
      <c r="F53" s="97">
        <f>SUM(F43:F52)</f>
        <v>2052000</v>
      </c>
    </row>
    <row r="54" spans="5:6" s="61" customFormat="1" ht="15" customHeight="1">
      <c r="E54" s="96" t="s">
        <v>42</v>
      </c>
      <c r="F54" s="97">
        <f>F41-F53</f>
        <v>144516.45999999996</v>
      </c>
    </row>
    <row r="55" spans="5:6" s="61" customFormat="1">
      <c r="E55" s="83"/>
      <c r="F55" s="151"/>
    </row>
    <row r="56" spans="5:6" s="61" customFormat="1">
      <c r="E56" s="83" t="s">
        <v>43</v>
      </c>
      <c r="F56" s="151">
        <f>43800+180000</f>
        <v>223800</v>
      </c>
    </row>
    <row r="57" spans="5:6" s="61" customFormat="1">
      <c r="E57" s="83" t="s">
        <v>44</v>
      </c>
      <c r="F57" s="151">
        <f>100000+350000</f>
        <v>450000</v>
      </c>
    </row>
    <row r="58" spans="5:6" s="61" customFormat="1">
      <c r="E58" s="83" t="s">
        <v>91</v>
      </c>
      <c r="F58" s="95">
        <f>+E31</f>
        <v>0</v>
      </c>
    </row>
    <row r="59" spans="5:6" s="61" customFormat="1">
      <c r="E59" s="96" t="s">
        <v>46</v>
      </c>
      <c r="F59" s="99">
        <f>SUM(F56:F58)</f>
        <v>673800</v>
      </c>
    </row>
    <row r="60" spans="5:6" s="61" customFormat="1">
      <c r="E60" s="83"/>
      <c r="F60" s="151"/>
    </row>
    <row r="61" spans="5:6" s="61" customFormat="1">
      <c r="E61" s="96" t="s">
        <v>47</v>
      </c>
      <c r="F61" s="99">
        <f>F54-F59</f>
        <v>-529283.54</v>
      </c>
    </row>
  </sheetData>
  <mergeCells count="22">
    <mergeCell ref="B29:D29"/>
    <mergeCell ref="B30:D30"/>
    <mergeCell ref="B31:D31"/>
    <mergeCell ref="G24:K24"/>
    <mergeCell ref="B25:D25"/>
    <mergeCell ref="B26:D26"/>
    <mergeCell ref="G26:H26"/>
    <mergeCell ref="B27:D27"/>
    <mergeCell ref="B28:D28"/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</mergeCells>
  <pageMargins left="0.7" right="0.7" top="0.75" bottom="0.75" header="0.3" footer="0.3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BA9EA-9F80-4195-9404-150E3082CCD0}">
  <dimension ref="B6:P61"/>
  <sheetViews>
    <sheetView showGridLines="0" topLeftCell="A6" workbookViewId="0">
      <selection activeCell="A6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4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8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472224.37</v>
      </c>
      <c r="F14" s="149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199297.09</v>
      </c>
      <c r="F15" s="150">
        <f>E15+E16+E17</f>
        <v>472224.37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21782.15</v>
      </c>
      <c r="F16" s="150">
        <v>90000</v>
      </c>
      <c r="G16" s="22">
        <v>10468.790000000001</v>
      </c>
      <c r="H16" s="23" t="s">
        <v>8</v>
      </c>
      <c r="I16" s="24"/>
      <c r="J16" s="25">
        <v>8537.26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251145.13</v>
      </c>
      <c r="F17" s="150">
        <f>F15-F16</f>
        <v>382224.37</v>
      </c>
      <c r="G17" s="22">
        <v>15633.09</v>
      </c>
      <c r="H17" s="29" t="s">
        <v>10</v>
      </c>
      <c r="I17" s="30"/>
      <c r="J17" s="25">
        <v>17637.740000000002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5713.8400000000011</v>
      </c>
      <c r="F18" s="150"/>
      <c r="G18" s="22">
        <v>225043.25</v>
      </c>
      <c r="H18" s="29" t="s">
        <v>12</v>
      </c>
      <c r="I18" s="30"/>
      <c r="J18" s="25">
        <v>58460.03</v>
      </c>
      <c r="K18" s="31" t="s">
        <v>12</v>
      </c>
    </row>
    <row r="19" spans="2:11">
      <c r="B19" s="344" t="s">
        <v>13</v>
      </c>
      <c r="C19" s="345"/>
      <c r="D19" s="346"/>
      <c r="E19" s="20">
        <v>13257816.390000001</v>
      </c>
      <c r="F19" s="150"/>
      <c r="G19" s="33"/>
      <c r="H19" s="34"/>
      <c r="I19" s="30"/>
      <c r="J19" s="25">
        <v>114662.06</v>
      </c>
      <c r="K19" s="31" t="s">
        <v>14</v>
      </c>
    </row>
    <row r="20" spans="2:11">
      <c r="B20" s="358" t="s">
        <v>15</v>
      </c>
      <c r="C20" s="359"/>
      <c r="D20" s="360"/>
      <c r="E20" s="35">
        <f>SUM(E21:E23)</f>
        <v>330726.35000000003</v>
      </c>
      <c r="F20" s="149"/>
      <c r="G20" s="361" t="s">
        <v>16</v>
      </c>
      <c r="H20" s="362"/>
      <c r="I20" s="36"/>
      <c r="J20" s="37"/>
      <c r="K20" s="38"/>
    </row>
    <row r="21" spans="2:11">
      <c r="B21" s="40"/>
      <c r="C21" s="41"/>
      <c r="D21" s="122" t="s">
        <v>110</v>
      </c>
      <c r="E21" s="43">
        <v>101877.14</v>
      </c>
      <c r="F21" s="149"/>
      <c r="G21" s="44">
        <v>9830.76</v>
      </c>
      <c r="H21" s="29" t="s">
        <v>10</v>
      </c>
      <c r="I21" s="30"/>
      <c r="J21" s="37"/>
      <c r="K21" s="45"/>
    </row>
    <row r="22" spans="2:11">
      <c r="B22" s="40"/>
      <c r="C22" s="41"/>
      <c r="D22" s="122" t="s">
        <v>111</v>
      </c>
      <c r="E22" s="43">
        <v>211641.19</v>
      </c>
      <c r="F22" s="149"/>
      <c r="G22" s="44">
        <v>11951.39</v>
      </c>
      <c r="H22" s="29" t="s">
        <v>18</v>
      </c>
      <c r="I22" s="30"/>
      <c r="J22" s="50"/>
      <c r="K22" s="38"/>
    </row>
    <row r="23" spans="2:11" ht="15" thickBot="1">
      <c r="B23" s="40"/>
      <c r="C23" s="41"/>
      <c r="D23" s="122" t="s">
        <v>112</v>
      </c>
      <c r="E23" s="43">
        <v>17208.02</v>
      </c>
      <c r="F23" s="149"/>
      <c r="G23" s="51"/>
      <c r="H23" s="34"/>
      <c r="I23" s="30"/>
      <c r="J23" s="52"/>
      <c r="K23" s="53"/>
    </row>
    <row r="24" spans="2:11" ht="15" thickBot="1">
      <c r="B24" s="46" t="s">
        <v>17</v>
      </c>
      <c r="C24" s="47"/>
      <c r="D24" s="48"/>
      <c r="E24" s="49">
        <v>4870.99</v>
      </c>
      <c r="F24" s="39"/>
      <c r="G24" s="331" t="s">
        <v>21</v>
      </c>
      <c r="H24" s="332"/>
      <c r="I24" s="332"/>
      <c r="J24" s="332"/>
      <c r="K24" s="333"/>
    </row>
    <row r="25" spans="2:11">
      <c r="B25" s="366" t="s">
        <v>77</v>
      </c>
      <c r="C25" s="367"/>
      <c r="D25" s="368"/>
      <c r="E25" s="49">
        <v>0</v>
      </c>
      <c r="F25" s="39"/>
      <c r="G25" s="54"/>
      <c r="H25" s="55"/>
      <c r="I25" s="56"/>
      <c r="J25" s="57"/>
      <c r="K25" s="58"/>
    </row>
    <row r="26" spans="2:11">
      <c r="B26" s="344" t="s">
        <v>78</v>
      </c>
      <c r="C26" s="345"/>
      <c r="D26" s="346"/>
      <c r="E26" s="49">
        <v>0</v>
      </c>
      <c r="F26" s="39"/>
      <c r="G26" s="347" t="s">
        <v>5</v>
      </c>
      <c r="H26" s="348"/>
      <c r="I26" s="59"/>
      <c r="J26" s="60"/>
      <c r="K26" s="45"/>
    </row>
    <row r="27" spans="2:11">
      <c r="B27" s="344" t="s">
        <v>22</v>
      </c>
      <c r="C27" s="345"/>
      <c r="D27" s="346"/>
      <c r="E27" s="49">
        <v>0</v>
      </c>
      <c r="F27" s="149">
        <v>0</v>
      </c>
      <c r="G27" s="22">
        <f>11608.87-11500</f>
        <v>108.8700000000008</v>
      </c>
      <c r="H27" s="62" t="s">
        <v>9</v>
      </c>
      <c r="I27" s="59"/>
      <c r="J27" s="60"/>
      <c r="K27" s="45"/>
    </row>
    <row r="28" spans="2:11">
      <c r="B28" s="344" t="s">
        <v>50</v>
      </c>
      <c r="C28" s="345"/>
      <c r="D28" s="346"/>
      <c r="E28" s="49">
        <v>0</v>
      </c>
      <c r="F28" s="149">
        <v>0</v>
      </c>
      <c r="G28" s="22">
        <v>2084.62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344" t="s">
        <v>24</v>
      </c>
      <c r="C29" s="345"/>
      <c r="D29" s="346"/>
      <c r="E29" s="49">
        <v>0</v>
      </c>
      <c r="F29" s="149">
        <v>0</v>
      </c>
      <c r="G29" s="67">
        <v>1331.13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25</v>
      </c>
      <c r="C30" s="345"/>
      <c r="D30" s="346"/>
      <c r="E30" s="49">
        <v>60000</v>
      </c>
      <c r="F30" s="149">
        <v>0</v>
      </c>
      <c r="G30" s="71">
        <v>2189.2199999999998</v>
      </c>
      <c r="H30" s="72" t="s">
        <v>12</v>
      </c>
      <c r="I30" s="73"/>
      <c r="J30" s="74" t="s">
        <v>32</v>
      </c>
      <c r="K30" s="75" t="s">
        <v>33</v>
      </c>
    </row>
    <row r="31" spans="2:11" ht="15" thickBot="1">
      <c r="B31" s="363" t="s">
        <v>29</v>
      </c>
      <c r="C31" s="364"/>
      <c r="D31" s="365"/>
      <c r="E31" s="66">
        <v>50031.79</v>
      </c>
      <c r="F31" s="39">
        <f>SUM(F27:F30)</f>
        <v>0</v>
      </c>
      <c r="G31" s="76"/>
      <c r="H31" s="76"/>
      <c r="I31" s="76"/>
      <c r="J31" s="76"/>
      <c r="K31" s="1"/>
    </row>
    <row r="35" spans="5:6">
      <c r="E35" s="78" t="s">
        <v>107</v>
      </c>
      <c r="F35" s="88"/>
    </row>
    <row r="36" spans="5:6">
      <c r="E36" s="78"/>
      <c r="F36" s="88"/>
    </row>
    <row r="37" spans="5:6">
      <c r="E37" s="83" t="s">
        <v>34</v>
      </c>
      <c r="F37" s="88">
        <f>F17</f>
        <v>382224.37</v>
      </c>
    </row>
    <row r="38" spans="5:6" s="61" customFormat="1" ht="15" customHeight="1">
      <c r="E38" s="83" t="s">
        <v>35</v>
      </c>
      <c r="F38" s="88">
        <f>+F31</f>
        <v>0</v>
      </c>
    </row>
    <row r="39" spans="5:6" s="61" customFormat="1" ht="15" customHeight="1">
      <c r="E39" s="83" t="s">
        <v>36</v>
      </c>
      <c r="F39" s="88">
        <f>495000-50031.79</f>
        <v>444968.21</v>
      </c>
    </row>
    <row r="40" spans="5:6" s="61" customFormat="1" ht="15" customHeight="1">
      <c r="E40" s="83" t="s">
        <v>37</v>
      </c>
      <c r="F40" s="88">
        <v>0</v>
      </c>
    </row>
    <row r="41" spans="5:6" s="61" customFormat="1" ht="15" customHeight="1">
      <c r="E41" s="85" t="s">
        <v>38</v>
      </c>
      <c r="F41" s="92">
        <f>SUM(F37:F40)</f>
        <v>827192.58000000007</v>
      </c>
    </row>
    <row r="42" spans="5:6" s="61" customFormat="1" ht="15" customHeight="1">
      <c r="E42" s="87"/>
      <c r="F42" s="93"/>
    </row>
    <row r="43" spans="5:6" s="61" customFormat="1" ht="15" customHeight="1">
      <c r="E43" s="89" t="s">
        <v>95</v>
      </c>
      <c r="F43" s="93">
        <v>85000</v>
      </c>
    </row>
    <row r="44" spans="5:6">
      <c r="E44" s="87" t="s">
        <v>102</v>
      </c>
      <c r="F44" s="39">
        <v>0</v>
      </c>
    </row>
    <row r="45" spans="5:6" s="61" customFormat="1" ht="15" customHeight="1">
      <c r="E45" s="89" t="s">
        <v>103</v>
      </c>
      <c r="F45" s="93">
        <v>0</v>
      </c>
    </row>
    <row r="46" spans="5:6" s="61" customFormat="1" ht="15" customHeight="1">
      <c r="E46" s="89" t="s">
        <v>104</v>
      </c>
      <c r="F46" s="93">
        <v>0</v>
      </c>
    </row>
    <row r="47" spans="5:6" s="61" customFormat="1" ht="15" customHeight="1">
      <c r="E47" s="89" t="s">
        <v>105</v>
      </c>
      <c r="F47" s="93">
        <v>0</v>
      </c>
    </row>
    <row r="48" spans="5:6" s="61" customFormat="1" ht="15" customHeight="1">
      <c r="E48" s="91" t="s">
        <v>24</v>
      </c>
      <c r="F48" s="95">
        <v>0</v>
      </c>
    </row>
    <row r="49" spans="5:6" s="61" customFormat="1" ht="15" customHeight="1">
      <c r="E49" s="91" t="s">
        <v>39</v>
      </c>
      <c r="F49" s="95">
        <v>2000</v>
      </c>
    </row>
    <row r="50" spans="5:6" s="61" customFormat="1" ht="15" customHeight="1">
      <c r="E50" s="91" t="s">
        <v>22</v>
      </c>
      <c r="F50" s="95">
        <f>40000-10000</f>
        <v>30000</v>
      </c>
    </row>
    <row r="51" spans="5:6" s="61" customFormat="1" ht="15" customHeight="1">
      <c r="E51" s="91" t="s">
        <v>69</v>
      </c>
      <c r="F51" s="95">
        <v>60000</v>
      </c>
    </row>
    <row r="52" spans="5:6" s="61" customFormat="1" ht="15" customHeight="1">
      <c r="E52" s="91" t="s">
        <v>40</v>
      </c>
      <c r="F52" s="93">
        <f>60000-10000-5000</f>
        <v>45000</v>
      </c>
    </row>
    <row r="53" spans="5:6" s="61" customFormat="1" ht="15" customHeight="1">
      <c r="E53" s="96" t="s">
        <v>41</v>
      </c>
      <c r="F53" s="97">
        <f>SUM(F43:F52)</f>
        <v>222000</v>
      </c>
    </row>
    <row r="54" spans="5:6" s="61" customFormat="1" ht="15" customHeight="1">
      <c r="E54" s="96" t="s">
        <v>42</v>
      </c>
      <c r="F54" s="97">
        <f>F41-F53</f>
        <v>605192.58000000007</v>
      </c>
    </row>
    <row r="55" spans="5:6" s="61" customFormat="1">
      <c r="E55" s="83"/>
      <c r="F55" s="151"/>
    </row>
    <row r="56" spans="5:6" s="61" customFormat="1">
      <c r="E56" s="83" t="s">
        <v>43</v>
      </c>
      <c r="F56" s="151">
        <f>43800+180000</f>
        <v>223800</v>
      </c>
    </row>
    <row r="57" spans="5:6" s="61" customFormat="1">
      <c r="E57" s="83" t="s">
        <v>44</v>
      </c>
      <c r="F57" s="151">
        <f>100000+350000</f>
        <v>450000</v>
      </c>
    </row>
    <row r="58" spans="5:6" s="61" customFormat="1">
      <c r="E58" s="83" t="s">
        <v>91</v>
      </c>
      <c r="F58" s="157">
        <f>+E31</f>
        <v>50031.79</v>
      </c>
    </row>
    <row r="59" spans="5:6" s="61" customFormat="1">
      <c r="E59" s="96" t="s">
        <v>46</v>
      </c>
      <c r="F59" s="99">
        <f>SUM(F56:F58)</f>
        <v>723831.79</v>
      </c>
    </row>
    <row r="60" spans="5:6" s="61" customFormat="1">
      <c r="E60" s="83"/>
      <c r="F60" s="151"/>
    </row>
    <row r="61" spans="5:6" s="61" customFormat="1">
      <c r="E61" s="96" t="s">
        <v>47</v>
      </c>
      <c r="F61" s="99">
        <f>F54-F59</f>
        <v>-118639.20999999996</v>
      </c>
    </row>
  </sheetData>
  <mergeCells count="22"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  <mergeCell ref="B29:D29"/>
    <mergeCell ref="B30:D30"/>
    <mergeCell ref="B31:D31"/>
    <mergeCell ref="G24:K24"/>
    <mergeCell ref="B25:D25"/>
    <mergeCell ref="B26:D26"/>
    <mergeCell ref="G26:H26"/>
    <mergeCell ref="B27:D27"/>
    <mergeCell ref="B28:D28"/>
  </mergeCells>
  <pageMargins left="0.7" right="0.7" top="0.75" bottom="0.75" header="0.3" footer="0.3"/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8AF3C-E0BF-4FC3-AE9A-FF62655FBBC5}">
  <dimension ref="B6:P61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4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8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409390.16</v>
      </c>
      <c r="F14" s="148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140970.60999999999</v>
      </c>
      <c r="F15" s="153">
        <f>E15+E16+E17</f>
        <v>409390.16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21701.47</v>
      </c>
      <c r="F16" s="153">
        <v>90000</v>
      </c>
      <c r="G16" s="22">
        <v>10468.790000000001</v>
      </c>
      <c r="H16" s="23" t="s">
        <v>8</v>
      </c>
      <c r="I16" s="24"/>
      <c r="J16" s="25">
        <v>14036.06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246718.07999999999</v>
      </c>
      <c r="F17" s="153">
        <f>F15-F16</f>
        <v>319390.15999999997</v>
      </c>
      <c r="G17" s="22">
        <v>14372.95</v>
      </c>
      <c r="H17" s="29" t="s">
        <v>10</v>
      </c>
      <c r="I17" s="30"/>
      <c r="J17" s="25">
        <v>11233.74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5716.73</v>
      </c>
      <c r="F18" s="153"/>
      <c r="G18" s="22">
        <v>221876.34</v>
      </c>
      <c r="H18" s="29" t="s">
        <v>12</v>
      </c>
      <c r="I18" s="30"/>
      <c r="J18" s="25">
        <v>13460.03</v>
      </c>
      <c r="K18" s="31" t="s">
        <v>12</v>
      </c>
    </row>
    <row r="19" spans="2:11">
      <c r="B19" s="344" t="s">
        <v>13</v>
      </c>
      <c r="C19" s="345"/>
      <c r="D19" s="346"/>
      <c r="E19" s="20">
        <v>13484892.77</v>
      </c>
      <c r="F19" s="153"/>
      <c r="G19" s="33"/>
      <c r="H19" s="34"/>
      <c r="I19" s="30"/>
      <c r="J19" s="25">
        <v>102240.78</v>
      </c>
      <c r="K19" s="31" t="s">
        <v>14</v>
      </c>
    </row>
    <row r="20" spans="2:11">
      <c r="B20" s="358" t="s">
        <v>15</v>
      </c>
      <c r="C20" s="359"/>
      <c r="D20" s="360"/>
      <c r="E20" s="35">
        <f>SUM(E21:E23)</f>
        <v>0</v>
      </c>
      <c r="F20" s="148"/>
      <c r="G20" s="361" t="s">
        <v>16</v>
      </c>
      <c r="H20" s="362"/>
      <c r="I20" s="36"/>
      <c r="J20" s="37"/>
      <c r="K20" s="38"/>
    </row>
    <row r="21" spans="2:11">
      <c r="B21" s="40"/>
      <c r="C21" s="41"/>
      <c r="D21" s="122"/>
      <c r="E21" s="43">
        <v>0</v>
      </c>
      <c r="F21" s="148"/>
      <c r="G21" s="44">
        <v>9019.92</v>
      </c>
      <c r="H21" s="29" t="s">
        <v>10</v>
      </c>
      <c r="I21" s="30"/>
      <c r="J21" s="37"/>
      <c r="K21" s="45"/>
    </row>
    <row r="22" spans="2:11">
      <c r="B22" s="40"/>
      <c r="C22" s="41"/>
      <c r="D22" s="122"/>
      <c r="E22" s="43">
        <v>0</v>
      </c>
      <c r="F22" s="148"/>
      <c r="G22" s="44">
        <v>12681.55</v>
      </c>
      <c r="H22" s="29" t="s">
        <v>18</v>
      </c>
      <c r="I22" s="30"/>
      <c r="J22" s="50"/>
      <c r="K22" s="38"/>
    </row>
    <row r="23" spans="2:11" ht="15" thickBot="1">
      <c r="B23" s="40"/>
      <c r="C23" s="41"/>
      <c r="D23" s="122"/>
      <c r="E23" s="43">
        <v>0</v>
      </c>
      <c r="F23" s="148"/>
      <c r="G23" s="51"/>
      <c r="H23" s="34"/>
      <c r="I23" s="30"/>
      <c r="J23" s="52"/>
      <c r="K23" s="53"/>
    </row>
    <row r="24" spans="2:11" ht="15" thickBot="1">
      <c r="B24" s="46" t="s">
        <v>17</v>
      </c>
      <c r="C24" s="47"/>
      <c r="D24" s="48"/>
      <c r="E24" s="49">
        <v>0</v>
      </c>
      <c r="F24" s="154"/>
      <c r="G24" s="331" t="s">
        <v>21</v>
      </c>
      <c r="H24" s="332"/>
      <c r="I24" s="332"/>
      <c r="J24" s="332"/>
      <c r="K24" s="333"/>
    </row>
    <row r="25" spans="2:11">
      <c r="B25" s="366" t="s">
        <v>77</v>
      </c>
      <c r="C25" s="367"/>
      <c r="D25" s="368"/>
      <c r="E25" s="49">
        <v>76226</v>
      </c>
      <c r="F25" s="154"/>
      <c r="G25" s="54"/>
      <c r="H25" s="55"/>
      <c r="I25" s="56"/>
      <c r="J25" s="57"/>
      <c r="K25" s="58"/>
    </row>
    <row r="26" spans="2:11">
      <c r="B26" s="344" t="s">
        <v>78</v>
      </c>
      <c r="C26" s="345"/>
      <c r="D26" s="346"/>
      <c r="E26" s="49">
        <v>0</v>
      </c>
      <c r="F26" s="154"/>
      <c r="G26" s="347" t="s">
        <v>5</v>
      </c>
      <c r="H26" s="348"/>
      <c r="I26" s="59"/>
      <c r="J26" s="60"/>
      <c r="K26" s="45"/>
    </row>
    <row r="27" spans="2:11">
      <c r="B27" s="344" t="s">
        <v>22</v>
      </c>
      <c r="C27" s="345"/>
      <c r="D27" s="346"/>
      <c r="E27" s="49">
        <v>0</v>
      </c>
      <c r="F27" s="148">
        <v>0</v>
      </c>
      <c r="G27" s="22">
        <f>11610.65-11500</f>
        <v>110.64999999999964</v>
      </c>
      <c r="H27" s="62" t="s">
        <v>9</v>
      </c>
      <c r="I27" s="59"/>
      <c r="J27" s="60"/>
      <c r="K27" s="45"/>
    </row>
    <row r="28" spans="2:11">
      <c r="B28" s="344" t="s">
        <v>50</v>
      </c>
      <c r="C28" s="345"/>
      <c r="D28" s="346"/>
      <c r="E28" s="49">
        <v>0</v>
      </c>
      <c r="F28" s="148">
        <v>0</v>
      </c>
      <c r="G28" s="22">
        <v>2084.8200000000002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344" t="s">
        <v>24</v>
      </c>
      <c r="C29" s="345"/>
      <c r="D29" s="346"/>
      <c r="E29" s="49">
        <v>0</v>
      </c>
      <c r="F29" s="148">
        <v>0</v>
      </c>
      <c r="G29" s="67">
        <v>1331.44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25</v>
      </c>
      <c r="C30" s="345"/>
      <c r="D30" s="346"/>
      <c r="E30" s="49">
        <v>0</v>
      </c>
      <c r="F30" s="148">
        <v>0</v>
      </c>
      <c r="G30" s="71">
        <v>2189.8200000000002</v>
      </c>
      <c r="H30" s="72" t="s">
        <v>12</v>
      </c>
      <c r="I30" s="73"/>
      <c r="J30" s="74" t="s">
        <v>32</v>
      </c>
      <c r="K30" s="75" t="s">
        <v>33</v>
      </c>
    </row>
    <row r="31" spans="2:11" ht="15" thickBot="1">
      <c r="B31" s="363" t="s">
        <v>29</v>
      </c>
      <c r="C31" s="364"/>
      <c r="D31" s="365"/>
      <c r="E31" s="66">
        <v>50031.79</v>
      </c>
      <c r="F31" s="154">
        <f>SUM(F27:F30)</f>
        <v>0</v>
      </c>
      <c r="G31" s="76"/>
      <c r="H31" s="76"/>
      <c r="I31" s="76"/>
      <c r="J31" s="76"/>
      <c r="K31" s="1"/>
    </row>
    <row r="35" spans="5:6">
      <c r="E35" s="110" t="s">
        <v>107</v>
      </c>
      <c r="F35" s="86"/>
    </row>
    <row r="36" spans="5:6">
      <c r="E36" s="110"/>
      <c r="F36" s="86"/>
    </row>
    <row r="37" spans="5:6">
      <c r="E37" s="82" t="s">
        <v>34</v>
      </c>
      <c r="F37" s="86">
        <f>F17</f>
        <v>319390.15999999997</v>
      </c>
    </row>
    <row r="38" spans="5:6" s="61" customFormat="1" ht="15" customHeight="1">
      <c r="E38" s="82" t="s">
        <v>35</v>
      </c>
      <c r="F38" s="86">
        <f>+F31</f>
        <v>0</v>
      </c>
    </row>
    <row r="39" spans="5:6" s="61" customFormat="1" ht="15" customHeight="1">
      <c r="E39" s="82" t="s">
        <v>36</v>
      </c>
      <c r="F39" s="86">
        <f>495000-50031.79</f>
        <v>444968.21</v>
      </c>
    </row>
    <row r="40" spans="5:6" s="61" customFormat="1" ht="15" customHeight="1">
      <c r="E40" s="82" t="s">
        <v>37</v>
      </c>
      <c r="F40" s="86">
        <v>0</v>
      </c>
    </row>
    <row r="41" spans="5:6" s="61" customFormat="1" ht="15" customHeight="1">
      <c r="E41" s="112" t="s">
        <v>38</v>
      </c>
      <c r="F41" s="111">
        <f>SUM(F37:F40)</f>
        <v>764358.37</v>
      </c>
    </row>
    <row r="42" spans="5:6" s="61" customFormat="1" ht="15" customHeight="1">
      <c r="E42" s="113"/>
      <c r="F42" s="94"/>
    </row>
    <row r="43" spans="5:6" s="61" customFormat="1" ht="15" customHeight="1">
      <c r="E43" s="114" t="s">
        <v>95</v>
      </c>
      <c r="F43" s="94">
        <v>85000</v>
      </c>
    </row>
    <row r="44" spans="5:6">
      <c r="E44" s="113" t="s">
        <v>102</v>
      </c>
      <c r="F44" s="154">
        <v>0</v>
      </c>
    </row>
    <row r="45" spans="5:6" s="61" customFormat="1" ht="15" customHeight="1">
      <c r="E45" s="114" t="s">
        <v>103</v>
      </c>
      <c r="F45" s="94">
        <v>0</v>
      </c>
    </row>
    <row r="46" spans="5:6" s="61" customFormat="1" ht="15" customHeight="1">
      <c r="E46" s="114" t="s">
        <v>104</v>
      </c>
      <c r="F46" s="94">
        <v>0</v>
      </c>
    </row>
    <row r="47" spans="5:6" s="61" customFormat="1" ht="15" customHeight="1">
      <c r="E47" s="114" t="s">
        <v>105</v>
      </c>
      <c r="F47" s="94">
        <v>0</v>
      </c>
    </row>
    <row r="48" spans="5:6" s="61" customFormat="1" ht="15" customHeight="1">
      <c r="E48" s="116" t="s">
        <v>24</v>
      </c>
      <c r="F48" s="117">
        <v>0</v>
      </c>
    </row>
    <row r="49" spans="5:6" s="61" customFormat="1" ht="15" customHeight="1">
      <c r="E49" s="116" t="s">
        <v>39</v>
      </c>
      <c r="F49" s="117">
        <v>2000</v>
      </c>
    </row>
    <row r="50" spans="5:6" s="61" customFormat="1" ht="15" customHeight="1">
      <c r="E50" s="116" t="s">
        <v>22</v>
      </c>
      <c r="F50" s="117">
        <f>40000-10000</f>
        <v>30000</v>
      </c>
    </row>
    <row r="51" spans="5:6" s="61" customFormat="1" ht="15" customHeight="1">
      <c r="E51" s="116" t="s">
        <v>69</v>
      </c>
      <c r="F51" s="117">
        <v>0</v>
      </c>
    </row>
    <row r="52" spans="5:6" s="61" customFormat="1" ht="15" customHeight="1">
      <c r="E52" s="116" t="s">
        <v>40</v>
      </c>
      <c r="F52" s="94">
        <f>60000-10000-5000</f>
        <v>45000</v>
      </c>
    </row>
    <row r="53" spans="5:6" s="61" customFormat="1" ht="15" customHeight="1">
      <c r="E53" s="118" t="s">
        <v>41</v>
      </c>
      <c r="F53" s="119">
        <f>SUM(F43:F52)</f>
        <v>162000</v>
      </c>
    </row>
    <row r="54" spans="5:6" s="61" customFormat="1" ht="15" customHeight="1">
      <c r="E54" s="118" t="s">
        <v>42</v>
      </c>
      <c r="F54" s="119">
        <f>F41-F53</f>
        <v>602358.37</v>
      </c>
    </row>
    <row r="55" spans="5:6" s="61" customFormat="1">
      <c r="E55" s="82"/>
      <c r="F55" s="80"/>
    </row>
    <row r="56" spans="5:6" s="61" customFormat="1">
      <c r="E56" s="82" t="s">
        <v>43</v>
      </c>
      <c r="F56" s="80">
        <f>43800+180000</f>
        <v>223800</v>
      </c>
    </row>
    <row r="57" spans="5:6" s="61" customFormat="1">
      <c r="E57" s="82" t="s">
        <v>44</v>
      </c>
      <c r="F57" s="80">
        <f>100000+350000</f>
        <v>450000</v>
      </c>
    </row>
    <row r="58" spans="5:6" s="61" customFormat="1">
      <c r="E58" s="82" t="s">
        <v>91</v>
      </c>
      <c r="F58" s="117">
        <f>+E31</f>
        <v>50031.79</v>
      </c>
    </row>
    <row r="59" spans="5:6" s="61" customFormat="1">
      <c r="E59" s="118" t="s">
        <v>46</v>
      </c>
      <c r="F59" s="120">
        <f>SUM(F56:F58)</f>
        <v>723831.79</v>
      </c>
    </row>
    <row r="60" spans="5:6" s="61" customFormat="1">
      <c r="E60" s="82"/>
      <c r="F60" s="80"/>
    </row>
    <row r="61" spans="5:6" s="61" customFormat="1">
      <c r="E61" s="118" t="s">
        <v>47</v>
      </c>
      <c r="F61" s="120">
        <f>F54-F59</f>
        <v>-121473.42000000004</v>
      </c>
    </row>
  </sheetData>
  <mergeCells count="22">
    <mergeCell ref="B29:D29"/>
    <mergeCell ref="B30:D30"/>
    <mergeCell ref="B31:D31"/>
    <mergeCell ref="G24:K24"/>
    <mergeCell ref="B25:D25"/>
    <mergeCell ref="B26:D26"/>
    <mergeCell ref="G26:H26"/>
    <mergeCell ref="B27:D27"/>
    <mergeCell ref="B28:D28"/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</mergeCells>
  <pageMargins left="0.7" right="0.7" top="0.75" bottom="0.75" header="0.3" footer="0.3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B70E5-32B0-4C5D-9788-32403C414D99}">
  <dimension ref="B6:P61"/>
  <sheetViews>
    <sheetView showGridLines="0" topLeftCell="A23" workbookViewId="0">
      <selection activeCell="A23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4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8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420601.76</v>
      </c>
      <c r="F14" s="148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139837.60999999999</v>
      </c>
      <c r="F15" s="153">
        <f>E15+E16+E17</f>
        <v>420601.76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25638.27</v>
      </c>
      <c r="F16" s="153">
        <v>90000</v>
      </c>
      <c r="G16" s="22">
        <v>10468.790000000001</v>
      </c>
      <c r="H16" s="23" t="s">
        <v>8</v>
      </c>
      <c r="I16" s="24"/>
      <c r="J16" s="25">
        <v>14036.06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255125.88</v>
      </c>
      <c r="F17" s="153">
        <f>F15-F16</f>
        <v>330601.76</v>
      </c>
      <c r="G17" s="22">
        <v>22780.75</v>
      </c>
      <c r="H17" s="29" t="s">
        <v>10</v>
      </c>
      <c r="I17" s="30"/>
      <c r="J17" s="25">
        <v>11233.74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5719.6100000000006</v>
      </c>
      <c r="F18" s="153"/>
      <c r="G18" s="22">
        <v>221876.34</v>
      </c>
      <c r="H18" s="29" t="s">
        <v>12</v>
      </c>
      <c r="I18" s="30"/>
      <c r="J18" s="25">
        <v>15463.23</v>
      </c>
      <c r="K18" s="31" t="s">
        <v>12</v>
      </c>
    </row>
    <row r="19" spans="2:11">
      <c r="B19" s="344" t="s">
        <v>13</v>
      </c>
      <c r="C19" s="345"/>
      <c r="D19" s="346"/>
      <c r="E19" s="20">
        <v>14636733.82</v>
      </c>
      <c r="F19" s="153"/>
      <c r="G19" s="33"/>
      <c r="H19" s="34"/>
      <c r="I19" s="30"/>
      <c r="J19" s="25">
        <v>99104.58</v>
      </c>
      <c r="K19" s="31" t="s">
        <v>14</v>
      </c>
    </row>
    <row r="20" spans="2:11">
      <c r="B20" s="358" t="s">
        <v>15</v>
      </c>
      <c r="C20" s="359"/>
      <c r="D20" s="360"/>
      <c r="E20" s="35">
        <f>SUM(E21:E23)</f>
        <v>0</v>
      </c>
      <c r="F20" s="148"/>
      <c r="G20" s="361" t="s">
        <v>16</v>
      </c>
      <c r="H20" s="362"/>
      <c r="I20" s="36"/>
      <c r="J20" s="37"/>
      <c r="K20" s="38"/>
    </row>
    <row r="21" spans="2:11">
      <c r="B21" s="40"/>
      <c r="C21" s="41"/>
      <c r="D21" s="122"/>
      <c r="E21" s="43">
        <v>0</v>
      </c>
      <c r="F21" s="148"/>
      <c r="G21" s="44">
        <v>12457.92</v>
      </c>
      <c r="H21" s="29" t="s">
        <v>10</v>
      </c>
      <c r="I21" s="30"/>
      <c r="J21" s="37"/>
      <c r="K21" s="45"/>
    </row>
    <row r="22" spans="2:11">
      <c r="B22" s="40"/>
      <c r="C22" s="41"/>
      <c r="D22" s="122"/>
      <c r="E22" s="43">
        <v>0</v>
      </c>
      <c r="F22" s="148"/>
      <c r="G22" s="44">
        <v>13180.35</v>
      </c>
      <c r="H22" s="29" t="s">
        <v>18</v>
      </c>
      <c r="I22" s="30"/>
      <c r="J22" s="50"/>
      <c r="K22" s="38"/>
    </row>
    <row r="23" spans="2:11" ht="15" thickBot="1">
      <c r="B23" s="40"/>
      <c r="C23" s="41"/>
      <c r="D23" s="122"/>
      <c r="E23" s="43">
        <v>0</v>
      </c>
      <c r="F23" s="148"/>
      <c r="G23" s="51"/>
      <c r="H23" s="34"/>
      <c r="I23" s="30"/>
      <c r="J23" s="52"/>
      <c r="K23" s="53"/>
    </row>
    <row r="24" spans="2:11" ht="15" thickBot="1">
      <c r="B24" s="46" t="s">
        <v>17</v>
      </c>
      <c r="C24" s="47"/>
      <c r="D24" s="48"/>
      <c r="E24" s="49">
        <v>57637.81</v>
      </c>
      <c r="F24" s="154"/>
      <c r="G24" s="331" t="s">
        <v>21</v>
      </c>
      <c r="H24" s="332"/>
      <c r="I24" s="332"/>
      <c r="J24" s="332"/>
      <c r="K24" s="333"/>
    </row>
    <row r="25" spans="2:11">
      <c r="B25" s="366" t="s">
        <v>77</v>
      </c>
      <c r="C25" s="367"/>
      <c r="D25" s="368"/>
      <c r="E25" s="49">
        <v>0</v>
      </c>
      <c r="F25" s="154"/>
      <c r="G25" s="54"/>
      <c r="H25" s="55"/>
      <c r="I25" s="56"/>
      <c r="J25" s="57"/>
      <c r="K25" s="58"/>
    </row>
    <row r="26" spans="2:11">
      <c r="B26" s="344" t="s">
        <v>78</v>
      </c>
      <c r="C26" s="345"/>
      <c r="D26" s="346"/>
      <c r="E26" s="49">
        <v>0</v>
      </c>
      <c r="F26" s="154"/>
      <c r="G26" s="347" t="s">
        <v>5</v>
      </c>
      <c r="H26" s="348"/>
      <c r="I26" s="59"/>
      <c r="J26" s="60"/>
      <c r="K26" s="45"/>
    </row>
    <row r="27" spans="2:11">
      <c r="B27" s="344" t="s">
        <v>22</v>
      </c>
      <c r="C27" s="345"/>
      <c r="D27" s="346"/>
      <c r="E27" s="49">
        <v>0</v>
      </c>
      <c r="F27" s="148">
        <v>0</v>
      </c>
      <c r="G27" s="22">
        <f>11612.42-11500</f>
        <v>112.42000000000007</v>
      </c>
      <c r="H27" s="62" t="s">
        <v>9</v>
      </c>
      <c r="I27" s="59"/>
      <c r="J27" s="60"/>
      <c r="K27" s="45"/>
    </row>
    <row r="28" spans="2:11">
      <c r="B28" s="344" t="s">
        <v>50</v>
      </c>
      <c r="C28" s="345"/>
      <c r="D28" s="346"/>
      <c r="E28" s="49">
        <v>0</v>
      </c>
      <c r="F28" s="148">
        <v>0</v>
      </c>
      <c r="G28" s="22">
        <v>2085.02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344" t="s">
        <v>24</v>
      </c>
      <c r="C29" s="345"/>
      <c r="D29" s="346"/>
      <c r="E29" s="49">
        <v>0</v>
      </c>
      <c r="F29" s="148">
        <v>0</v>
      </c>
      <c r="G29" s="67">
        <v>1331.75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25</v>
      </c>
      <c r="C30" s="345"/>
      <c r="D30" s="346"/>
      <c r="E30" s="49">
        <v>0</v>
      </c>
      <c r="F30" s="148">
        <v>0</v>
      </c>
      <c r="G30" s="71">
        <v>2190.42</v>
      </c>
      <c r="H30" s="72" t="s">
        <v>12</v>
      </c>
      <c r="I30" s="73"/>
      <c r="J30" s="74" t="s">
        <v>32</v>
      </c>
      <c r="K30" s="75" t="s">
        <v>33</v>
      </c>
    </row>
    <row r="31" spans="2:11" ht="15" thickBot="1">
      <c r="B31" s="363" t="s">
        <v>29</v>
      </c>
      <c r="C31" s="364"/>
      <c r="D31" s="365"/>
      <c r="E31" s="66">
        <f>50095.41+186106.66</f>
        <v>236202.07</v>
      </c>
      <c r="F31" s="154">
        <f>SUM(F27:F30)</f>
        <v>0</v>
      </c>
      <c r="G31" s="76"/>
      <c r="H31" s="76"/>
      <c r="I31" s="76"/>
      <c r="J31" s="76"/>
      <c r="K31" s="1"/>
    </row>
    <row r="35" spans="5:6">
      <c r="E35" s="78" t="s">
        <v>113</v>
      </c>
      <c r="F35" s="88"/>
    </row>
    <row r="36" spans="5:6">
      <c r="E36" s="78"/>
      <c r="F36" s="88"/>
    </row>
    <row r="37" spans="5:6">
      <c r="E37" s="83" t="s">
        <v>34</v>
      </c>
      <c r="F37" s="88">
        <f>F17</f>
        <v>330601.76</v>
      </c>
    </row>
    <row r="38" spans="5:6" s="61" customFormat="1" ht="15" customHeight="1">
      <c r="E38" s="83" t="s">
        <v>35</v>
      </c>
      <c r="F38" s="88">
        <f>+F31</f>
        <v>0</v>
      </c>
    </row>
    <row r="39" spans="5:6" s="61" customFormat="1" ht="15" customHeight="1">
      <c r="E39" s="83" t="s">
        <v>36</v>
      </c>
      <c r="F39" s="88">
        <f>495000-50031.79</f>
        <v>444968.21</v>
      </c>
    </row>
    <row r="40" spans="5:6" s="61" customFormat="1" ht="15" customHeight="1">
      <c r="E40" s="83" t="s">
        <v>37</v>
      </c>
      <c r="F40" s="88">
        <v>0</v>
      </c>
    </row>
    <row r="41" spans="5:6" s="61" customFormat="1" ht="15" customHeight="1">
      <c r="E41" s="85" t="s">
        <v>38</v>
      </c>
      <c r="F41" s="92">
        <f>SUM(F37:F40)</f>
        <v>775569.97</v>
      </c>
    </row>
    <row r="42" spans="5:6" s="61" customFormat="1" ht="15" customHeight="1">
      <c r="E42" s="87"/>
      <c r="F42" s="93"/>
    </row>
    <row r="43" spans="5:6" s="61" customFormat="1" ht="15" customHeight="1">
      <c r="E43" s="89" t="s">
        <v>95</v>
      </c>
      <c r="F43" s="93">
        <v>0</v>
      </c>
    </row>
    <row r="44" spans="5:6">
      <c r="E44" s="87" t="s">
        <v>102</v>
      </c>
      <c r="F44" s="39">
        <v>0</v>
      </c>
    </row>
    <row r="45" spans="5:6" s="61" customFormat="1" ht="15" customHeight="1">
      <c r="E45" s="89" t="s">
        <v>103</v>
      </c>
      <c r="F45" s="93">
        <v>0</v>
      </c>
    </row>
    <row r="46" spans="5:6" s="61" customFormat="1" ht="15" customHeight="1">
      <c r="E46" s="89" t="s">
        <v>104</v>
      </c>
      <c r="F46" s="93">
        <v>0</v>
      </c>
    </row>
    <row r="47" spans="5:6" s="61" customFormat="1" ht="15" customHeight="1">
      <c r="E47" s="89" t="s">
        <v>105</v>
      </c>
      <c r="F47" s="93">
        <v>0</v>
      </c>
    </row>
    <row r="48" spans="5:6" s="61" customFormat="1" ht="15" customHeight="1">
      <c r="E48" s="91" t="s">
        <v>24</v>
      </c>
      <c r="F48" s="95">
        <v>0</v>
      </c>
    </row>
    <row r="49" spans="5:6" s="61" customFormat="1" ht="15" customHeight="1">
      <c r="E49" s="91" t="s">
        <v>39</v>
      </c>
      <c r="F49" s="95">
        <v>2000</v>
      </c>
    </row>
    <row r="50" spans="5:6" s="61" customFormat="1" ht="15" customHeight="1">
      <c r="E50" s="91" t="s">
        <v>22</v>
      </c>
      <c r="F50" s="95">
        <f>40000-10000</f>
        <v>30000</v>
      </c>
    </row>
    <row r="51" spans="5:6" s="61" customFormat="1" ht="15" customHeight="1">
      <c r="E51" s="91" t="s">
        <v>69</v>
      </c>
      <c r="F51" s="95">
        <v>0</v>
      </c>
    </row>
    <row r="52" spans="5:6" s="61" customFormat="1" ht="15" customHeight="1">
      <c r="E52" s="91" t="s">
        <v>40</v>
      </c>
      <c r="F52" s="93">
        <f>60000-10000-5000</f>
        <v>45000</v>
      </c>
    </row>
    <row r="53" spans="5:6" s="61" customFormat="1" ht="15" customHeight="1">
      <c r="E53" s="96" t="s">
        <v>41</v>
      </c>
      <c r="F53" s="97">
        <f>SUM(F43:F52)</f>
        <v>77000</v>
      </c>
    </row>
    <row r="54" spans="5:6" s="61" customFormat="1" ht="15" customHeight="1">
      <c r="E54" s="96" t="s">
        <v>42</v>
      </c>
      <c r="F54" s="97">
        <f>F41-F53</f>
        <v>698569.97</v>
      </c>
    </row>
    <row r="55" spans="5:6" s="61" customFormat="1">
      <c r="E55" s="83"/>
      <c r="F55" s="151"/>
    </row>
    <row r="56" spans="5:6" s="61" customFormat="1">
      <c r="E56" s="83" t="s">
        <v>43</v>
      </c>
      <c r="F56" s="151">
        <f>43800+180000</f>
        <v>223800</v>
      </c>
    </row>
    <row r="57" spans="5:6" s="61" customFormat="1">
      <c r="E57" s="83" t="s">
        <v>44</v>
      </c>
      <c r="F57" s="151">
        <v>430000</v>
      </c>
    </row>
    <row r="58" spans="5:6" s="61" customFormat="1">
      <c r="E58" s="83" t="s">
        <v>91</v>
      </c>
      <c r="F58" s="95">
        <f>+E31</f>
        <v>236202.07</v>
      </c>
    </row>
    <row r="59" spans="5:6" s="61" customFormat="1">
      <c r="E59" s="96" t="s">
        <v>46</v>
      </c>
      <c r="F59" s="99">
        <f>SUM(F56:F58)</f>
        <v>890002.07000000007</v>
      </c>
    </row>
    <row r="60" spans="5:6" s="61" customFormat="1">
      <c r="E60" s="83"/>
      <c r="F60" s="151"/>
    </row>
    <row r="61" spans="5:6" s="61" customFormat="1">
      <c r="E61" s="96" t="s">
        <v>47</v>
      </c>
      <c r="F61" s="99">
        <f>F54-F59</f>
        <v>-191432.10000000009</v>
      </c>
    </row>
  </sheetData>
  <mergeCells count="22"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  <mergeCell ref="B29:D29"/>
    <mergeCell ref="B30:D30"/>
    <mergeCell ref="B31:D31"/>
    <mergeCell ref="G24:K24"/>
    <mergeCell ref="B25:D25"/>
    <mergeCell ref="B26:D26"/>
    <mergeCell ref="G26:H26"/>
    <mergeCell ref="B27:D27"/>
    <mergeCell ref="B28:D28"/>
  </mergeCells>
  <pageMargins left="0.7" right="0.7" top="0.75" bottom="0.75" header="0.3" footer="0.3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27F79-6C20-41F9-A425-464DBF70F8D5}">
  <dimension ref="B6:P59"/>
  <sheetViews>
    <sheetView showGridLines="0" workbookViewId="0">
      <selection activeCell="A4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4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8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111424.17000000001</v>
      </c>
      <c r="F14" s="148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49185.69</v>
      </c>
      <c r="F15" s="153">
        <f>E15+E16+E17</f>
        <v>111424.17000000001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27262.27</v>
      </c>
      <c r="F16" s="153">
        <v>90000</v>
      </c>
      <c r="G16" s="22">
        <v>9935.19</v>
      </c>
      <c r="H16" s="23" t="s">
        <v>8</v>
      </c>
      <c r="I16" s="24"/>
      <c r="J16" s="25">
        <v>14036.06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34976.21</v>
      </c>
      <c r="F17" s="153">
        <f>F15-F16</f>
        <v>21424.170000000013</v>
      </c>
      <c r="G17" s="22">
        <v>11140.49</v>
      </c>
      <c r="H17" s="29" t="s">
        <v>10</v>
      </c>
      <c r="I17" s="30"/>
      <c r="J17" s="25">
        <v>11233.74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5731.1200000000008</v>
      </c>
      <c r="F18" s="153"/>
      <c r="G18" s="22">
        <v>13900.53</v>
      </c>
      <c r="H18" s="29" t="s">
        <v>12</v>
      </c>
      <c r="I18" s="30"/>
      <c r="J18" s="25">
        <v>10463.23</v>
      </c>
      <c r="K18" s="31" t="s">
        <v>12</v>
      </c>
    </row>
    <row r="19" spans="2:11">
      <c r="B19" s="344" t="s">
        <v>13</v>
      </c>
      <c r="C19" s="345"/>
      <c r="D19" s="346"/>
      <c r="E19" s="20">
        <v>14823028.720000001</v>
      </c>
      <c r="F19" s="153"/>
      <c r="G19" s="33"/>
      <c r="H19" s="34"/>
      <c r="I19" s="30"/>
      <c r="J19" s="25">
        <v>13452.66</v>
      </c>
      <c r="K19" s="31" t="s">
        <v>14</v>
      </c>
    </row>
    <row r="20" spans="2:11">
      <c r="B20" s="358" t="s">
        <v>15</v>
      </c>
      <c r="C20" s="359"/>
      <c r="D20" s="360"/>
      <c r="E20" s="35">
        <f>SUM(E21:E23)</f>
        <v>1624</v>
      </c>
      <c r="F20" s="148"/>
      <c r="G20" s="361" t="s">
        <v>16</v>
      </c>
      <c r="H20" s="362"/>
      <c r="I20" s="36"/>
      <c r="J20" s="37"/>
      <c r="K20" s="38"/>
    </row>
    <row r="21" spans="2:11">
      <c r="B21" s="40"/>
      <c r="C21" s="41"/>
      <c r="D21" s="122" t="s">
        <v>114</v>
      </c>
      <c r="E21" s="43">
        <v>812</v>
      </c>
      <c r="F21" s="148"/>
      <c r="G21" s="44">
        <v>12457.92</v>
      </c>
      <c r="H21" s="29" t="s">
        <v>10</v>
      </c>
      <c r="I21" s="30"/>
      <c r="J21" s="37"/>
      <c r="K21" s="45"/>
    </row>
    <row r="22" spans="2:11">
      <c r="B22" s="40"/>
      <c r="C22" s="41"/>
      <c r="D22" s="122" t="s">
        <v>114</v>
      </c>
      <c r="E22" s="43">
        <v>812</v>
      </c>
      <c r="F22" s="148"/>
      <c r="G22" s="44">
        <v>14804.35</v>
      </c>
      <c r="H22" s="29" t="s">
        <v>18</v>
      </c>
      <c r="I22" s="30"/>
      <c r="J22" s="50"/>
      <c r="K22" s="38"/>
    </row>
    <row r="23" spans="2:11" ht="15" thickBot="1">
      <c r="B23" s="40"/>
      <c r="C23" s="41"/>
      <c r="D23" s="122"/>
      <c r="E23" s="43">
        <v>0</v>
      </c>
      <c r="F23" s="148"/>
      <c r="G23" s="51"/>
      <c r="H23" s="34"/>
      <c r="I23" s="30"/>
      <c r="J23" s="52"/>
      <c r="K23" s="53"/>
    </row>
    <row r="24" spans="2:11" ht="15" thickBot="1">
      <c r="B24" s="46" t="s">
        <v>17</v>
      </c>
      <c r="C24" s="47"/>
      <c r="D24" s="48"/>
      <c r="E24" s="49">
        <f>20893.52+28626.86</f>
        <v>49520.380000000005</v>
      </c>
      <c r="F24" s="154"/>
      <c r="G24" s="331" t="s">
        <v>21</v>
      </c>
      <c r="H24" s="332"/>
      <c r="I24" s="332"/>
      <c r="J24" s="332"/>
      <c r="K24" s="333"/>
    </row>
    <row r="25" spans="2:11">
      <c r="B25" s="366" t="s">
        <v>77</v>
      </c>
      <c r="C25" s="367"/>
      <c r="D25" s="368"/>
      <c r="E25" s="49">
        <v>0</v>
      </c>
      <c r="F25" s="154"/>
      <c r="G25" s="54"/>
      <c r="H25" s="55"/>
      <c r="I25" s="56"/>
      <c r="J25" s="57"/>
      <c r="K25" s="58"/>
    </row>
    <row r="26" spans="2:11">
      <c r="B26" s="344" t="s">
        <v>78</v>
      </c>
      <c r="C26" s="345"/>
      <c r="D26" s="346"/>
      <c r="E26" s="49">
        <v>0</v>
      </c>
      <c r="F26" s="154"/>
      <c r="G26" s="347" t="s">
        <v>5</v>
      </c>
      <c r="H26" s="348"/>
      <c r="I26" s="59"/>
      <c r="J26" s="60"/>
      <c r="K26" s="45"/>
    </row>
    <row r="27" spans="2:11">
      <c r="B27" s="344" t="s">
        <v>22</v>
      </c>
      <c r="C27" s="345"/>
      <c r="D27" s="346"/>
      <c r="E27" s="49">
        <v>36606.199999999997</v>
      </c>
      <c r="F27" s="148">
        <v>0</v>
      </c>
      <c r="G27" s="22">
        <f>11619.5-11500</f>
        <v>119.5</v>
      </c>
      <c r="H27" s="62" t="s">
        <v>9</v>
      </c>
      <c r="I27" s="59"/>
      <c r="J27" s="60"/>
      <c r="K27" s="45"/>
    </row>
    <row r="28" spans="2:11">
      <c r="B28" s="344" t="s">
        <v>50</v>
      </c>
      <c r="C28" s="345"/>
      <c r="D28" s="346"/>
      <c r="E28" s="49">
        <v>0</v>
      </c>
      <c r="F28" s="148">
        <v>0</v>
      </c>
      <c r="G28" s="22">
        <v>2085.8200000000002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344" t="s">
        <v>24</v>
      </c>
      <c r="C29" s="345"/>
      <c r="D29" s="346"/>
      <c r="E29" s="49">
        <f>15000+65000</f>
        <v>80000</v>
      </c>
      <c r="F29" s="148">
        <v>0</v>
      </c>
      <c r="G29" s="67">
        <v>1333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25</v>
      </c>
      <c r="C30" s="345"/>
      <c r="D30" s="346"/>
      <c r="E30" s="49">
        <v>0</v>
      </c>
      <c r="F30" s="148">
        <v>0</v>
      </c>
      <c r="G30" s="71">
        <v>2192.8000000000002</v>
      </c>
      <c r="H30" s="72" t="s">
        <v>12</v>
      </c>
      <c r="I30" s="73"/>
      <c r="J30" s="74" t="s">
        <v>32</v>
      </c>
      <c r="K30" s="75" t="s">
        <v>33</v>
      </c>
    </row>
    <row r="31" spans="2:11" ht="15" thickBot="1">
      <c r="B31" s="363" t="s">
        <v>29</v>
      </c>
      <c r="C31" s="364"/>
      <c r="D31" s="365"/>
      <c r="E31" s="66">
        <v>100349.73</v>
      </c>
      <c r="F31" s="154">
        <f>SUM(F27:F30)</f>
        <v>0</v>
      </c>
      <c r="G31" s="76"/>
      <c r="H31" s="76"/>
      <c r="I31" s="76"/>
      <c r="J31" s="76"/>
      <c r="K31" s="1"/>
    </row>
    <row r="35" spans="5:6">
      <c r="E35" s="110" t="s">
        <v>113</v>
      </c>
      <c r="F35" s="86"/>
    </row>
    <row r="36" spans="5:6">
      <c r="E36" s="110"/>
      <c r="F36" s="86"/>
    </row>
    <row r="37" spans="5:6">
      <c r="E37" s="82" t="s">
        <v>34</v>
      </c>
      <c r="F37" s="86">
        <f>F17</f>
        <v>21424.170000000013</v>
      </c>
    </row>
    <row r="38" spans="5:6" s="61" customFormat="1" ht="15" customHeight="1">
      <c r="E38" s="82" t="s">
        <v>35</v>
      </c>
      <c r="F38" s="86">
        <f>+F31</f>
        <v>0</v>
      </c>
    </row>
    <row r="39" spans="5:6" s="61" customFormat="1" ht="15" customHeight="1">
      <c r="E39" s="82" t="s">
        <v>36</v>
      </c>
      <c r="F39" s="86">
        <f>495000-100349.73</f>
        <v>394650.27</v>
      </c>
    </row>
    <row r="40" spans="5:6" s="61" customFormat="1" ht="15" customHeight="1">
      <c r="E40" s="82" t="s">
        <v>37</v>
      </c>
      <c r="F40" s="86">
        <v>0</v>
      </c>
    </row>
    <row r="41" spans="5:6" s="61" customFormat="1" ht="15" customHeight="1">
      <c r="E41" s="112" t="s">
        <v>38</v>
      </c>
      <c r="F41" s="111">
        <f>SUM(F37:F40)</f>
        <v>416074.44000000006</v>
      </c>
    </row>
    <row r="42" spans="5:6" s="61" customFormat="1" ht="15" customHeight="1">
      <c r="E42" s="113"/>
      <c r="F42" s="94"/>
    </row>
    <row r="43" spans="5:6" s="61" customFormat="1" ht="15" customHeight="1">
      <c r="E43" s="114" t="s">
        <v>115</v>
      </c>
      <c r="F43" s="94">
        <v>85000</v>
      </c>
    </row>
    <row r="44" spans="5:6">
      <c r="E44" s="113" t="s">
        <v>52</v>
      </c>
      <c r="F44" s="154">
        <v>40000</v>
      </c>
    </row>
    <row r="45" spans="5:6" s="61" customFormat="1" ht="15" customHeight="1">
      <c r="E45" s="114" t="s">
        <v>116</v>
      </c>
      <c r="F45" s="94">
        <v>35000</v>
      </c>
    </row>
    <row r="46" spans="5:6" s="61" customFormat="1" ht="15" customHeight="1">
      <c r="E46" s="116" t="s">
        <v>24</v>
      </c>
      <c r="F46" s="117">
        <f>15000+65000</f>
        <v>80000</v>
      </c>
    </row>
    <row r="47" spans="5:6" s="61" customFormat="1" ht="15" customHeight="1">
      <c r="E47" s="116" t="s">
        <v>39</v>
      </c>
      <c r="F47" s="117">
        <v>2000</v>
      </c>
    </row>
    <row r="48" spans="5:6" s="61" customFormat="1" ht="15" customHeight="1">
      <c r="E48" s="116" t="s">
        <v>22</v>
      </c>
      <c r="F48" s="117">
        <v>50000</v>
      </c>
    </row>
    <row r="49" spans="5:6" s="61" customFormat="1" ht="15" customHeight="1">
      <c r="E49" s="116" t="s">
        <v>40</v>
      </c>
      <c r="F49" s="94">
        <v>140000</v>
      </c>
    </row>
    <row r="50" spans="5:6" s="61" customFormat="1" ht="15" customHeight="1">
      <c r="E50" s="116" t="s">
        <v>117</v>
      </c>
      <c r="F50" s="94">
        <v>134250.92000000001</v>
      </c>
    </row>
    <row r="51" spans="5:6" s="61" customFormat="1" ht="15" customHeight="1">
      <c r="E51" s="118" t="s">
        <v>41</v>
      </c>
      <c r="F51" s="119">
        <f>SUM(F43:F50)</f>
        <v>566250.92000000004</v>
      </c>
    </row>
    <row r="52" spans="5:6" s="61" customFormat="1" ht="15" customHeight="1">
      <c r="E52" s="118" t="s">
        <v>42</v>
      </c>
      <c r="F52" s="119">
        <f>F41-F51</f>
        <v>-150176.47999999998</v>
      </c>
    </row>
    <row r="53" spans="5:6" s="61" customFormat="1">
      <c r="E53" s="82"/>
      <c r="F53" s="80"/>
    </row>
    <row r="54" spans="5:6" s="61" customFormat="1">
      <c r="E54" s="82" t="s">
        <v>43</v>
      </c>
      <c r="F54" s="80">
        <f>43800+180000</f>
        <v>223800</v>
      </c>
    </row>
    <row r="55" spans="5:6" s="61" customFormat="1">
      <c r="E55" s="82" t="s">
        <v>44</v>
      </c>
      <c r="F55" s="80">
        <v>430000</v>
      </c>
    </row>
    <row r="56" spans="5:6" s="61" customFormat="1">
      <c r="E56" s="82" t="s">
        <v>91</v>
      </c>
      <c r="F56" s="117">
        <f>+E31</f>
        <v>100349.73</v>
      </c>
    </row>
    <row r="57" spans="5:6" s="61" customFormat="1">
      <c r="E57" s="118" t="s">
        <v>46</v>
      </c>
      <c r="F57" s="120">
        <f>SUM(F54:F56)</f>
        <v>754149.73</v>
      </c>
    </row>
    <row r="58" spans="5:6" s="61" customFormat="1">
      <c r="E58" s="82"/>
      <c r="F58" s="80"/>
    </row>
    <row r="59" spans="5:6" s="61" customFormat="1">
      <c r="E59" s="118" t="s">
        <v>47</v>
      </c>
      <c r="F59" s="120">
        <f>F52-F57</f>
        <v>-904326.21</v>
      </c>
    </row>
  </sheetData>
  <mergeCells count="22">
    <mergeCell ref="B29:D29"/>
    <mergeCell ref="B30:D30"/>
    <mergeCell ref="B31:D31"/>
    <mergeCell ref="G24:K24"/>
    <mergeCell ref="B25:D25"/>
    <mergeCell ref="B26:D26"/>
    <mergeCell ref="G26:H26"/>
    <mergeCell ref="B27:D27"/>
    <mergeCell ref="B28:D28"/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</mergeCells>
  <pageMargins left="0.7" right="0.7" top="0.75" bottom="0.75" header="0.3" footer="0.3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3E334-35E5-4257-BBBD-8F0A07393481}">
  <dimension ref="B6:P59"/>
  <sheetViews>
    <sheetView showGridLines="0" topLeftCell="A23" workbookViewId="0">
      <selection activeCell="A23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4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8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107480.96999999999</v>
      </c>
      <c r="F14" s="148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48122.749999999993</v>
      </c>
      <c r="F15" s="153">
        <f>E15+E16+E17</f>
        <v>107480.96999999999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27262.27</v>
      </c>
      <c r="F16" s="153">
        <v>90000</v>
      </c>
      <c r="G16" s="22">
        <v>9935.19</v>
      </c>
      <c r="H16" s="23" t="s">
        <v>8</v>
      </c>
      <c r="I16" s="24"/>
      <c r="J16" s="25">
        <v>12973.18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32095.95</v>
      </c>
      <c r="F17" s="153">
        <f>F15-F16</f>
        <v>17480.969999999987</v>
      </c>
      <c r="G17" s="22">
        <v>12664.69</v>
      </c>
      <c r="H17" s="29" t="s">
        <v>10</v>
      </c>
      <c r="I17" s="30"/>
      <c r="J17" s="25">
        <v>11233.74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5731.6299999999992</v>
      </c>
      <c r="F18" s="153"/>
      <c r="G18" s="22">
        <v>9496.07</v>
      </c>
      <c r="H18" s="29" t="s">
        <v>12</v>
      </c>
      <c r="I18" s="30"/>
      <c r="J18" s="25">
        <v>10463.23</v>
      </c>
      <c r="K18" s="31" t="s">
        <v>12</v>
      </c>
    </row>
    <row r="19" spans="2:11">
      <c r="B19" s="344" t="s">
        <v>13</v>
      </c>
      <c r="C19" s="345"/>
      <c r="D19" s="346"/>
      <c r="E19" s="20">
        <v>17809752.829999998</v>
      </c>
      <c r="F19" s="153"/>
      <c r="G19" s="33"/>
      <c r="H19" s="34"/>
      <c r="I19" s="30"/>
      <c r="J19" s="25">
        <v>13452.6</v>
      </c>
      <c r="K19" s="31" t="s">
        <v>14</v>
      </c>
    </row>
    <row r="20" spans="2:11">
      <c r="B20" s="358" t="s">
        <v>15</v>
      </c>
      <c r="C20" s="359"/>
      <c r="D20" s="360"/>
      <c r="E20" s="35">
        <f>SUM(E21:E23)</f>
        <v>0</v>
      </c>
      <c r="F20" s="148"/>
      <c r="G20" s="361" t="s">
        <v>16</v>
      </c>
      <c r="H20" s="362"/>
      <c r="I20" s="36"/>
      <c r="J20" s="37"/>
      <c r="K20" s="38"/>
    </row>
    <row r="21" spans="2:11">
      <c r="B21" s="40"/>
      <c r="C21" s="41"/>
      <c r="D21" s="122"/>
      <c r="E21" s="43">
        <v>0</v>
      </c>
      <c r="F21" s="148"/>
      <c r="G21" s="44">
        <v>12457.92</v>
      </c>
      <c r="H21" s="29" t="s">
        <v>10</v>
      </c>
      <c r="I21" s="30"/>
      <c r="J21" s="37"/>
      <c r="K21" s="45"/>
    </row>
    <row r="22" spans="2:11">
      <c r="B22" s="40"/>
      <c r="C22" s="41"/>
      <c r="D22" s="122"/>
      <c r="E22" s="43">
        <v>0</v>
      </c>
      <c r="F22" s="148"/>
      <c r="G22" s="44">
        <v>14804.35</v>
      </c>
      <c r="H22" s="29" t="s">
        <v>18</v>
      </c>
      <c r="I22" s="30"/>
      <c r="J22" s="50"/>
      <c r="K22" s="38"/>
    </row>
    <row r="23" spans="2:11" ht="15" thickBot="1">
      <c r="B23" s="40"/>
      <c r="C23" s="41"/>
      <c r="D23" s="122"/>
      <c r="E23" s="43">
        <v>0</v>
      </c>
      <c r="F23" s="148"/>
      <c r="G23" s="51"/>
      <c r="H23" s="34"/>
      <c r="I23" s="30"/>
      <c r="J23" s="52"/>
      <c r="K23" s="53"/>
    </row>
    <row r="24" spans="2:11" ht="15" thickBot="1">
      <c r="B24" s="46" t="s">
        <v>17</v>
      </c>
      <c r="C24" s="47"/>
      <c r="D24" s="48"/>
      <c r="E24" s="49">
        <v>40000</v>
      </c>
      <c r="F24" s="154"/>
      <c r="G24" s="331" t="s">
        <v>21</v>
      </c>
      <c r="H24" s="332"/>
      <c r="I24" s="332"/>
      <c r="J24" s="332"/>
      <c r="K24" s="333"/>
    </row>
    <row r="25" spans="2:11">
      <c r="B25" s="366" t="s">
        <v>77</v>
      </c>
      <c r="C25" s="367"/>
      <c r="D25" s="368"/>
      <c r="E25" s="49">
        <v>0</v>
      </c>
      <c r="F25" s="154"/>
      <c r="G25" s="54"/>
      <c r="H25" s="55"/>
      <c r="I25" s="56"/>
      <c r="J25" s="57"/>
      <c r="K25" s="58"/>
    </row>
    <row r="26" spans="2:11">
      <c r="B26" s="344" t="s">
        <v>78</v>
      </c>
      <c r="C26" s="345"/>
      <c r="D26" s="346"/>
      <c r="E26" s="49">
        <v>0</v>
      </c>
      <c r="F26" s="154"/>
      <c r="G26" s="347" t="s">
        <v>5</v>
      </c>
      <c r="H26" s="348"/>
      <c r="I26" s="59"/>
      <c r="J26" s="60"/>
      <c r="K26" s="45"/>
    </row>
    <row r="27" spans="2:11">
      <c r="B27" s="344" t="s">
        <v>22</v>
      </c>
      <c r="C27" s="345"/>
      <c r="D27" s="346"/>
      <c r="E27" s="49">
        <v>0</v>
      </c>
      <c r="F27" s="148">
        <v>0</v>
      </c>
      <c r="G27" s="22">
        <f>11619.5-11500</f>
        <v>119.5</v>
      </c>
      <c r="H27" s="62" t="s">
        <v>9</v>
      </c>
      <c r="I27" s="59"/>
      <c r="J27" s="60"/>
      <c r="K27" s="45"/>
    </row>
    <row r="28" spans="2:11">
      <c r="B28" s="344" t="s">
        <v>50</v>
      </c>
      <c r="C28" s="345"/>
      <c r="D28" s="346"/>
      <c r="E28" s="49">
        <v>0</v>
      </c>
      <c r="F28" s="148">
        <v>0</v>
      </c>
      <c r="G28" s="22">
        <v>2086.02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344" t="s">
        <v>24</v>
      </c>
      <c r="C29" s="345"/>
      <c r="D29" s="346"/>
      <c r="E29" s="49">
        <v>0</v>
      </c>
      <c r="F29" s="148">
        <v>0</v>
      </c>
      <c r="G29" s="67">
        <v>1333.31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25</v>
      </c>
      <c r="C30" s="345"/>
      <c r="D30" s="346"/>
      <c r="E30" s="49">
        <v>0</v>
      </c>
      <c r="F30" s="148">
        <v>0</v>
      </c>
      <c r="G30" s="71">
        <v>2192.8000000000002</v>
      </c>
      <c r="H30" s="72" t="s">
        <v>12</v>
      </c>
      <c r="I30" s="73"/>
      <c r="J30" s="74" t="s">
        <v>32</v>
      </c>
      <c r="K30" s="75" t="s">
        <v>33</v>
      </c>
    </row>
    <row r="31" spans="2:11" ht="15" thickBot="1">
      <c r="B31" s="363" t="s">
        <v>29</v>
      </c>
      <c r="C31" s="364"/>
      <c r="D31" s="365"/>
      <c r="E31" s="66">
        <v>0</v>
      </c>
      <c r="F31" s="154">
        <f>SUM(F27:F30)</f>
        <v>0</v>
      </c>
      <c r="G31" s="76"/>
      <c r="H31" s="76"/>
      <c r="I31" s="76"/>
      <c r="J31" s="76"/>
      <c r="K31" s="1"/>
    </row>
    <row r="35" spans="5:6">
      <c r="E35" s="78" t="s">
        <v>113</v>
      </c>
      <c r="F35" s="88"/>
    </row>
    <row r="36" spans="5:6">
      <c r="E36" s="78"/>
      <c r="F36" s="88"/>
    </row>
    <row r="37" spans="5:6">
      <c r="E37" s="83" t="s">
        <v>34</v>
      </c>
      <c r="F37" s="88">
        <f>F17</f>
        <v>17480.969999999987</v>
      </c>
    </row>
    <row r="38" spans="5:6" s="61" customFormat="1" ht="15" customHeight="1">
      <c r="E38" s="83" t="s">
        <v>35</v>
      </c>
      <c r="F38" s="88">
        <f>+F31</f>
        <v>0</v>
      </c>
    </row>
    <row r="39" spans="5:6" s="61" customFormat="1" ht="15" customHeight="1">
      <c r="E39" s="83" t="s">
        <v>36</v>
      </c>
      <c r="F39" s="88">
        <f>495000-320553.2</f>
        <v>174446.8</v>
      </c>
    </row>
    <row r="40" spans="5:6" s="61" customFormat="1" ht="15" customHeight="1">
      <c r="E40" s="83" t="s">
        <v>37</v>
      </c>
      <c r="F40" s="88">
        <v>0</v>
      </c>
    </row>
    <row r="41" spans="5:6" s="61" customFormat="1" ht="15" customHeight="1">
      <c r="E41" s="85" t="s">
        <v>38</v>
      </c>
      <c r="F41" s="92">
        <f>SUM(F37:F40)</f>
        <v>191927.76999999996</v>
      </c>
    </row>
    <row r="42" spans="5:6" s="61" customFormat="1" ht="15" customHeight="1">
      <c r="E42" s="87"/>
      <c r="F42" s="93"/>
    </row>
    <row r="43" spans="5:6" s="61" customFormat="1" ht="15" customHeight="1">
      <c r="E43" s="89" t="s">
        <v>115</v>
      </c>
      <c r="F43" s="93">
        <v>85000</v>
      </c>
    </row>
    <row r="44" spans="5:6">
      <c r="E44" s="87" t="s">
        <v>52</v>
      </c>
      <c r="F44" s="39">
        <v>40000</v>
      </c>
    </row>
    <row r="45" spans="5:6" s="61" customFormat="1" ht="15" customHeight="1">
      <c r="E45" s="89" t="s">
        <v>116</v>
      </c>
      <c r="F45" s="93">
        <v>0</v>
      </c>
    </row>
    <row r="46" spans="5:6" s="61" customFormat="1" ht="15" customHeight="1">
      <c r="E46" s="91" t="s">
        <v>24</v>
      </c>
      <c r="F46" s="95">
        <v>0</v>
      </c>
    </row>
    <row r="47" spans="5:6" s="61" customFormat="1" ht="15" customHeight="1">
      <c r="E47" s="91" t="s">
        <v>39</v>
      </c>
      <c r="F47" s="95">
        <v>2000</v>
      </c>
    </row>
    <row r="48" spans="5:6" s="61" customFormat="1" ht="15" customHeight="1">
      <c r="E48" s="91" t="s">
        <v>22</v>
      </c>
      <c r="F48" s="95">
        <f>50000-30000</f>
        <v>20000</v>
      </c>
    </row>
    <row r="49" spans="5:6" s="61" customFormat="1" ht="15" customHeight="1">
      <c r="E49" s="91" t="s">
        <v>40</v>
      </c>
      <c r="F49" s="93">
        <f>140000-50000</f>
        <v>90000</v>
      </c>
    </row>
    <row r="50" spans="5:6" s="61" customFormat="1" ht="15" customHeight="1">
      <c r="E50" s="91" t="s">
        <v>117</v>
      </c>
      <c r="F50" s="93">
        <v>134250.92000000001</v>
      </c>
    </row>
    <row r="51" spans="5:6" s="61" customFormat="1" ht="15" customHeight="1">
      <c r="E51" s="96" t="s">
        <v>41</v>
      </c>
      <c r="F51" s="97">
        <f>SUM(F43:F50)</f>
        <v>371250.92000000004</v>
      </c>
    </row>
    <row r="52" spans="5:6" s="61" customFormat="1" ht="15" customHeight="1">
      <c r="E52" s="96" t="s">
        <v>42</v>
      </c>
      <c r="F52" s="97">
        <f>F41-F51</f>
        <v>-179323.15000000008</v>
      </c>
    </row>
    <row r="53" spans="5:6" s="61" customFormat="1">
      <c r="E53" s="83"/>
      <c r="F53" s="151"/>
    </row>
    <row r="54" spans="5:6" s="61" customFormat="1">
      <c r="E54" s="83" t="s">
        <v>43</v>
      </c>
      <c r="F54" s="151">
        <f>43800+180000</f>
        <v>223800</v>
      </c>
    </row>
    <row r="55" spans="5:6" s="61" customFormat="1">
      <c r="E55" s="83" t="s">
        <v>44</v>
      </c>
      <c r="F55" s="151">
        <v>430000</v>
      </c>
    </row>
    <row r="56" spans="5:6" s="61" customFormat="1">
      <c r="E56" s="83" t="s">
        <v>91</v>
      </c>
      <c r="F56" s="95">
        <f>+E31</f>
        <v>0</v>
      </c>
    </row>
    <row r="57" spans="5:6" s="61" customFormat="1">
      <c r="E57" s="96" t="s">
        <v>46</v>
      </c>
      <c r="F57" s="99">
        <f>SUM(F54:F56)</f>
        <v>653800</v>
      </c>
    </row>
    <row r="58" spans="5:6" s="61" customFormat="1">
      <c r="E58" s="82"/>
      <c r="F58" s="80"/>
    </row>
    <row r="59" spans="5:6" s="61" customFormat="1">
      <c r="E59" s="118" t="s">
        <v>47</v>
      </c>
      <c r="F59" s="120">
        <f>F52-F57</f>
        <v>-833123.15000000014</v>
      </c>
    </row>
  </sheetData>
  <mergeCells count="22">
    <mergeCell ref="B29:D29"/>
    <mergeCell ref="B30:D30"/>
    <mergeCell ref="B31:D31"/>
    <mergeCell ref="G24:K24"/>
    <mergeCell ref="B25:D25"/>
    <mergeCell ref="B26:D26"/>
    <mergeCell ref="G26:H26"/>
    <mergeCell ref="B27:D27"/>
    <mergeCell ref="B28:D28"/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</mergeCells>
  <pageMargins left="0.7" right="0.7" top="0.75" bottom="0.75" header="0.3" footer="0.3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AFDD3-601E-464D-BA7F-81FBBC17A77F}">
  <dimension ref="B6:P59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4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8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230346.07</v>
      </c>
      <c r="F14" s="148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168346.47</v>
      </c>
      <c r="F15" s="153">
        <f>E15+E16+E17</f>
        <v>230346.07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27262.27</v>
      </c>
      <c r="F16" s="153">
        <v>90000</v>
      </c>
      <c r="G16" s="22">
        <v>9639.39</v>
      </c>
      <c r="H16" s="23" t="s">
        <v>8</v>
      </c>
      <c r="I16" s="24"/>
      <c r="J16" s="25">
        <v>53699.23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34737.33</v>
      </c>
      <c r="F17" s="153">
        <f>F15-F16</f>
        <v>140346.07</v>
      </c>
      <c r="G17" s="22">
        <v>12664.69</v>
      </c>
      <c r="H17" s="29" t="s">
        <v>10</v>
      </c>
      <c r="I17" s="30"/>
      <c r="J17" s="25">
        <v>63232.959999999999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5733.329999999999</v>
      </c>
      <c r="F18" s="153"/>
      <c r="G18" s="22">
        <v>12433.25</v>
      </c>
      <c r="H18" s="29" t="s">
        <v>12</v>
      </c>
      <c r="I18" s="30"/>
      <c r="J18" s="25">
        <v>10463.23</v>
      </c>
      <c r="K18" s="31" t="s">
        <v>12</v>
      </c>
    </row>
    <row r="19" spans="2:11">
      <c r="B19" s="344" t="s">
        <v>13</v>
      </c>
      <c r="C19" s="345"/>
      <c r="D19" s="346"/>
      <c r="E19" s="20">
        <v>17926299.82</v>
      </c>
      <c r="F19" s="153"/>
      <c r="G19" s="33"/>
      <c r="H19" s="34"/>
      <c r="I19" s="30"/>
      <c r="J19" s="25">
        <v>40951.050000000003</v>
      </c>
      <c r="K19" s="31" t="s">
        <v>14</v>
      </c>
    </row>
    <row r="20" spans="2:11">
      <c r="B20" s="358" t="s">
        <v>15</v>
      </c>
      <c r="C20" s="359"/>
      <c r="D20" s="360"/>
      <c r="E20" s="35">
        <f>SUM(E21:E23)</f>
        <v>116480.35</v>
      </c>
      <c r="F20" s="148"/>
      <c r="G20" s="361" t="s">
        <v>16</v>
      </c>
      <c r="H20" s="362"/>
      <c r="I20" s="36"/>
      <c r="J20" s="37"/>
      <c r="K20" s="38"/>
    </row>
    <row r="21" spans="2:11">
      <c r="B21" s="40"/>
      <c r="C21" s="41"/>
      <c r="D21" s="122" t="s">
        <v>118</v>
      </c>
      <c r="E21" s="43">
        <v>28657.08</v>
      </c>
      <c r="F21" s="148"/>
      <c r="G21" s="44">
        <v>12457.92</v>
      </c>
      <c r="H21" s="29" t="s">
        <v>10</v>
      </c>
      <c r="I21" s="30"/>
      <c r="J21" s="37"/>
      <c r="K21" s="45"/>
    </row>
    <row r="22" spans="2:11">
      <c r="B22" s="40"/>
      <c r="C22" s="41"/>
      <c r="D22" s="122" t="s">
        <v>118</v>
      </c>
      <c r="E22" s="43">
        <v>35726.050000000003</v>
      </c>
      <c r="F22" s="148"/>
      <c r="G22" s="44">
        <v>14804.35</v>
      </c>
      <c r="H22" s="29" t="s">
        <v>18</v>
      </c>
      <c r="I22" s="30"/>
      <c r="J22" s="50"/>
      <c r="K22" s="38"/>
    </row>
    <row r="23" spans="2:11" ht="15" thickBot="1">
      <c r="B23" s="40"/>
      <c r="C23" s="41"/>
      <c r="D23" s="122" t="s">
        <v>118</v>
      </c>
      <c r="E23" s="43">
        <v>52097.22</v>
      </c>
      <c r="F23" s="148"/>
      <c r="G23" s="51"/>
      <c r="H23" s="34"/>
      <c r="I23" s="30"/>
      <c r="J23" s="52"/>
      <c r="K23" s="53"/>
    </row>
    <row r="24" spans="2:11" ht="15" thickBot="1">
      <c r="B24" s="46" t="s">
        <v>17</v>
      </c>
      <c r="C24" s="47"/>
      <c r="D24" s="48"/>
      <c r="E24" s="49">
        <v>0</v>
      </c>
      <c r="F24" s="154"/>
      <c r="G24" s="331" t="s">
        <v>21</v>
      </c>
      <c r="H24" s="332"/>
      <c r="I24" s="332"/>
      <c r="J24" s="332"/>
      <c r="K24" s="333"/>
    </row>
    <row r="25" spans="2:11">
      <c r="B25" s="366" t="s">
        <v>89</v>
      </c>
      <c r="C25" s="367"/>
      <c r="D25" s="368"/>
      <c r="E25" s="49">
        <v>85000</v>
      </c>
      <c r="F25" s="154"/>
      <c r="G25" s="54"/>
      <c r="H25" s="55"/>
      <c r="I25" s="56"/>
      <c r="J25" s="57"/>
      <c r="K25" s="58"/>
    </row>
    <row r="26" spans="2:11">
      <c r="B26" s="344" t="s">
        <v>78</v>
      </c>
      <c r="C26" s="345"/>
      <c r="D26" s="346"/>
      <c r="E26" s="49">
        <v>0</v>
      </c>
      <c r="F26" s="154"/>
      <c r="G26" s="347" t="s">
        <v>5</v>
      </c>
      <c r="H26" s="348"/>
      <c r="I26" s="59"/>
      <c r="J26" s="60"/>
      <c r="K26" s="45"/>
    </row>
    <row r="27" spans="2:11">
      <c r="B27" s="344" t="s">
        <v>22</v>
      </c>
      <c r="C27" s="345"/>
      <c r="D27" s="346"/>
      <c r="E27" s="49">
        <v>0</v>
      </c>
      <c r="F27" s="148">
        <v>0</v>
      </c>
      <c r="G27" s="22">
        <f>11619.5-11500</f>
        <v>119.5</v>
      </c>
      <c r="H27" s="62" t="s">
        <v>9</v>
      </c>
      <c r="I27" s="59"/>
      <c r="J27" s="60"/>
      <c r="K27" s="45"/>
    </row>
    <row r="28" spans="2:11">
      <c r="B28" s="344" t="s">
        <v>52</v>
      </c>
      <c r="C28" s="345"/>
      <c r="D28" s="346"/>
      <c r="E28" s="49">
        <v>40000</v>
      </c>
      <c r="F28" s="148">
        <v>0</v>
      </c>
      <c r="G28" s="22">
        <v>2086.2199999999998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344" t="s">
        <v>24</v>
      </c>
      <c r="C29" s="345"/>
      <c r="D29" s="346"/>
      <c r="E29" s="49">
        <v>0</v>
      </c>
      <c r="F29" s="148">
        <v>0</v>
      </c>
      <c r="G29" s="67">
        <v>1333.62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25</v>
      </c>
      <c r="C30" s="345"/>
      <c r="D30" s="346"/>
      <c r="E30" s="49">
        <v>0</v>
      </c>
      <c r="F30" s="148">
        <v>0</v>
      </c>
      <c r="G30" s="71">
        <v>2193.9899999999998</v>
      </c>
      <c r="H30" s="72" t="s">
        <v>12</v>
      </c>
      <c r="I30" s="73"/>
      <c r="J30" s="74" t="s">
        <v>32</v>
      </c>
      <c r="K30" s="75" t="s">
        <v>33</v>
      </c>
    </row>
    <row r="31" spans="2:11" ht="15" thickBot="1">
      <c r="B31" s="363" t="s">
        <v>29</v>
      </c>
      <c r="C31" s="364"/>
      <c r="D31" s="365"/>
      <c r="E31" s="66">
        <v>0</v>
      </c>
      <c r="F31" s="154">
        <f>SUM(F27:F30)</f>
        <v>0</v>
      </c>
      <c r="G31" s="76"/>
      <c r="H31" s="76"/>
      <c r="I31" s="76"/>
      <c r="J31" s="76"/>
      <c r="K31" s="1"/>
    </row>
    <row r="35" spans="5:6">
      <c r="E35" s="110" t="s">
        <v>113</v>
      </c>
      <c r="F35" s="86"/>
    </row>
    <row r="36" spans="5:6">
      <c r="E36" s="110"/>
      <c r="F36" s="86"/>
    </row>
    <row r="37" spans="5:6">
      <c r="E37" s="82" t="s">
        <v>34</v>
      </c>
      <c r="F37" s="86">
        <f>F17</f>
        <v>140346.07</v>
      </c>
    </row>
    <row r="38" spans="5:6" s="61" customFormat="1" ht="15" customHeight="1">
      <c r="E38" s="82" t="s">
        <v>35</v>
      </c>
      <c r="F38" s="86">
        <f>+F31</f>
        <v>0</v>
      </c>
    </row>
    <row r="39" spans="5:6" s="61" customFormat="1" ht="15" customHeight="1">
      <c r="E39" s="82" t="s">
        <v>36</v>
      </c>
      <c r="F39" s="86">
        <f>495000-365785.28</f>
        <v>129214.71999999997</v>
      </c>
    </row>
    <row r="40" spans="5:6" s="61" customFormat="1" ht="15" customHeight="1">
      <c r="E40" s="82" t="s">
        <v>37</v>
      </c>
      <c r="F40" s="86">
        <v>0</v>
      </c>
    </row>
    <row r="41" spans="5:6" s="61" customFormat="1" ht="15" customHeight="1">
      <c r="E41" s="112" t="s">
        <v>38</v>
      </c>
      <c r="F41" s="111">
        <f>SUM(F37:F40)</f>
        <v>269560.78999999998</v>
      </c>
    </row>
    <row r="42" spans="5:6" s="61" customFormat="1" ht="15" customHeight="1">
      <c r="E42" s="113"/>
      <c r="F42" s="94"/>
    </row>
    <row r="43" spans="5:6" s="61" customFormat="1" ht="15" customHeight="1">
      <c r="E43" s="114" t="s">
        <v>115</v>
      </c>
      <c r="F43" s="94">
        <v>85000</v>
      </c>
    </row>
    <row r="44" spans="5:6">
      <c r="E44" s="113" t="s">
        <v>52</v>
      </c>
      <c r="F44" s="154">
        <v>40000</v>
      </c>
    </row>
    <row r="45" spans="5:6" s="61" customFormat="1" ht="15" customHeight="1">
      <c r="E45" s="114" t="s">
        <v>116</v>
      </c>
      <c r="F45" s="94">
        <v>0</v>
      </c>
    </row>
    <row r="46" spans="5:6" s="61" customFormat="1" ht="15" customHeight="1">
      <c r="E46" s="116" t="s">
        <v>24</v>
      </c>
      <c r="F46" s="117">
        <v>0</v>
      </c>
    </row>
    <row r="47" spans="5:6" s="61" customFormat="1" ht="15" customHeight="1">
      <c r="E47" s="116" t="s">
        <v>39</v>
      </c>
      <c r="F47" s="117">
        <v>2000</v>
      </c>
    </row>
    <row r="48" spans="5:6" s="61" customFormat="1" ht="15" customHeight="1">
      <c r="E48" s="116" t="s">
        <v>22</v>
      </c>
      <c r="F48" s="117">
        <f>50000-30000</f>
        <v>20000</v>
      </c>
    </row>
    <row r="49" spans="5:6" s="61" customFormat="1" ht="15" customHeight="1">
      <c r="E49" s="116" t="s">
        <v>40</v>
      </c>
      <c r="F49" s="94">
        <f>140000-50000-35000</f>
        <v>55000</v>
      </c>
    </row>
    <row r="50" spans="5:6" s="61" customFormat="1" ht="15" customHeight="1">
      <c r="E50" s="116" t="s">
        <v>117</v>
      </c>
      <c r="F50" s="94">
        <v>134250.92000000001</v>
      </c>
    </row>
    <row r="51" spans="5:6" s="61" customFormat="1" ht="15" customHeight="1">
      <c r="E51" s="118" t="s">
        <v>41</v>
      </c>
      <c r="F51" s="119">
        <f>SUM(F43:F50)</f>
        <v>336250.92000000004</v>
      </c>
    </row>
    <row r="52" spans="5:6" s="61" customFormat="1" ht="15" customHeight="1">
      <c r="E52" s="118" t="s">
        <v>42</v>
      </c>
      <c r="F52" s="119">
        <f>F41-F51</f>
        <v>-66690.130000000063</v>
      </c>
    </row>
    <row r="53" spans="5:6" s="61" customFormat="1">
      <c r="E53" s="82"/>
      <c r="F53" s="80"/>
    </row>
    <row r="54" spans="5:6" s="61" customFormat="1">
      <c r="E54" s="82" t="s">
        <v>43</v>
      </c>
      <c r="F54" s="80">
        <f>43800+180000</f>
        <v>223800</v>
      </c>
    </row>
    <row r="55" spans="5:6" s="61" customFormat="1">
      <c r="E55" s="82" t="s">
        <v>44</v>
      </c>
      <c r="F55" s="80">
        <v>430000</v>
      </c>
    </row>
    <row r="56" spans="5:6" s="61" customFormat="1">
      <c r="E56" s="82" t="s">
        <v>91</v>
      </c>
      <c r="F56" s="117">
        <f>+E31</f>
        <v>0</v>
      </c>
    </row>
    <row r="57" spans="5:6" s="61" customFormat="1">
      <c r="E57" s="118" t="s">
        <v>46</v>
      </c>
      <c r="F57" s="120">
        <f>SUM(F54:F56)</f>
        <v>653800</v>
      </c>
    </row>
    <row r="58" spans="5:6" s="61" customFormat="1">
      <c r="E58" s="82"/>
      <c r="F58" s="80"/>
    </row>
    <row r="59" spans="5:6" s="61" customFormat="1">
      <c r="E59" s="118" t="s">
        <v>47</v>
      </c>
      <c r="F59" s="120">
        <f>F52-F57</f>
        <v>-720490.13000000012</v>
      </c>
    </row>
  </sheetData>
  <mergeCells count="22"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  <mergeCell ref="B29:D29"/>
    <mergeCell ref="B30:D30"/>
    <mergeCell ref="B31:D31"/>
    <mergeCell ref="G24:K24"/>
    <mergeCell ref="B25:D25"/>
    <mergeCell ref="B26:D26"/>
    <mergeCell ref="G26:H26"/>
    <mergeCell ref="B27:D27"/>
    <mergeCell ref="B28:D28"/>
  </mergeCells>
  <pageMargins left="0.7" right="0.7" top="0.75" bottom="0.75" header="0.3" footer="0.3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B482A-492D-4F3D-8CE4-D853C587A3B0}">
  <dimension ref="B6:P59"/>
  <sheetViews>
    <sheetView showGridLines="0" topLeftCell="A12" workbookViewId="0">
      <selection activeCell="B20" sqref="B20:D20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4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8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263077.8</v>
      </c>
      <c r="F14" s="149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183181.99</v>
      </c>
      <c r="F15" s="153">
        <f>E15+E16+E17</f>
        <v>263077.8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20970.669999999998</v>
      </c>
      <c r="F16" s="153">
        <v>90000</v>
      </c>
      <c r="G16" s="22">
        <v>9639.39</v>
      </c>
      <c r="H16" s="23" t="s">
        <v>8</v>
      </c>
      <c r="I16" s="24"/>
      <c r="J16" s="25">
        <v>44681.87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58925.14</v>
      </c>
      <c r="F17" s="153">
        <f>F15-F16</f>
        <v>173077.8</v>
      </c>
      <c r="G17" s="22">
        <v>38349.230000000003</v>
      </c>
      <c r="H17" s="29" t="s">
        <v>10</v>
      </c>
      <c r="I17" s="30"/>
      <c r="J17" s="25">
        <v>85798.84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5739.15</v>
      </c>
      <c r="F18" s="153"/>
      <c r="G18" s="22">
        <v>10936.52</v>
      </c>
      <c r="H18" s="29" t="s">
        <v>12</v>
      </c>
      <c r="I18" s="30"/>
      <c r="J18" s="25">
        <v>11750.23</v>
      </c>
      <c r="K18" s="31" t="s">
        <v>12</v>
      </c>
    </row>
    <row r="19" spans="2:11">
      <c r="B19" s="344" t="s">
        <v>13</v>
      </c>
      <c r="C19" s="345"/>
      <c r="D19" s="346"/>
      <c r="E19" s="20">
        <v>17933855.09</v>
      </c>
      <c r="F19" s="153"/>
      <c r="G19" s="33"/>
      <c r="H19" s="34"/>
      <c r="I19" s="30"/>
      <c r="J19" s="25">
        <v>40951.050000000003</v>
      </c>
      <c r="K19" s="31" t="s">
        <v>14</v>
      </c>
    </row>
    <row r="20" spans="2:11">
      <c r="B20" s="358" t="s">
        <v>15</v>
      </c>
      <c r="C20" s="359"/>
      <c r="D20" s="360"/>
      <c r="E20" s="35">
        <f>SUM(E21:E23)</f>
        <v>98112.98000000001</v>
      </c>
      <c r="F20" s="148"/>
      <c r="G20" s="361" t="s">
        <v>16</v>
      </c>
      <c r="H20" s="362"/>
      <c r="I20" s="36"/>
      <c r="J20" s="37"/>
      <c r="K20" s="38"/>
    </row>
    <row r="21" spans="2:11">
      <c r="B21" s="40"/>
      <c r="C21" s="41"/>
      <c r="D21" s="122" t="s">
        <v>119</v>
      </c>
      <c r="E21" s="43">
        <v>26387.1</v>
      </c>
      <c r="F21" s="148"/>
      <c r="G21" s="44">
        <v>6166.32</v>
      </c>
      <c r="H21" s="29" t="s">
        <v>10</v>
      </c>
      <c r="I21" s="30"/>
      <c r="J21" s="37"/>
      <c r="K21" s="45"/>
    </row>
    <row r="22" spans="2:11">
      <c r="B22" s="40"/>
      <c r="C22" s="41"/>
      <c r="D22" s="122" t="s">
        <v>120</v>
      </c>
      <c r="E22" s="43">
        <v>70565.88</v>
      </c>
      <c r="F22" s="148"/>
      <c r="G22" s="44">
        <v>14804.35</v>
      </c>
      <c r="H22" s="29" t="s">
        <v>18</v>
      </c>
      <c r="I22" s="30"/>
      <c r="J22" s="50"/>
      <c r="K22" s="38"/>
    </row>
    <row r="23" spans="2:11" ht="15" thickBot="1">
      <c r="B23" s="40"/>
      <c r="C23" s="41"/>
      <c r="D23" s="122" t="s">
        <v>120</v>
      </c>
      <c r="E23" s="43">
        <v>1160</v>
      </c>
      <c r="F23" s="148"/>
      <c r="G23" s="51"/>
      <c r="H23" s="34"/>
      <c r="I23" s="30"/>
      <c r="J23" s="52"/>
      <c r="K23" s="53"/>
    </row>
    <row r="24" spans="2:11" ht="15" thickBot="1">
      <c r="B24" s="46" t="s">
        <v>17</v>
      </c>
      <c r="C24" s="47"/>
      <c r="D24" s="48"/>
      <c r="E24" s="49">
        <f>9280+1000+1276+16488.24+11444.99+6550.03+24521.86</f>
        <v>70561.119999999995</v>
      </c>
      <c r="F24" s="154"/>
      <c r="G24" s="331" t="s">
        <v>21</v>
      </c>
      <c r="H24" s="332"/>
      <c r="I24" s="332"/>
      <c r="J24" s="332"/>
      <c r="K24" s="333"/>
    </row>
    <row r="25" spans="2:11">
      <c r="B25" s="366" t="s">
        <v>89</v>
      </c>
      <c r="C25" s="367"/>
      <c r="D25" s="368"/>
      <c r="E25" s="49">
        <v>0</v>
      </c>
      <c r="F25" s="154"/>
      <c r="G25" s="54"/>
      <c r="H25" s="55"/>
      <c r="I25" s="56"/>
      <c r="J25" s="57"/>
      <c r="K25" s="58"/>
    </row>
    <row r="26" spans="2:11">
      <c r="B26" s="344" t="s">
        <v>78</v>
      </c>
      <c r="C26" s="345"/>
      <c r="D26" s="346"/>
      <c r="E26" s="49">
        <v>0</v>
      </c>
      <c r="F26" s="154"/>
      <c r="G26" s="347" t="s">
        <v>5</v>
      </c>
      <c r="H26" s="348"/>
      <c r="I26" s="59"/>
      <c r="J26" s="60"/>
      <c r="K26" s="45"/>
    </row>
    <row r="27" spans="2:11">
      <c r="B27" s="344" t="s">
        <v>22</v>
      </c>
      <c r="C27" s="345"/>
      <c r="D27" s="346"/>
      <c r="E27" s="49">
        <v>2296.4</v>
      </c>
      <c r="F27" s="148">
        <v>0</v>
      </c>
      <c r="G27" s="22">
        <f>11624.82-11500</f>
        <v>124.81999999999971</v>
      </c>
      <c r="H27" s="62" t="s">
        <v>9</v>
      </c>
      <c r="I27" s="59"/>
      <c r="J27" s="60"/>
      <c r="K27" s="45"/>
    </row>
    <row r="28" spans="2:11">
      <c r="B28" s="344" t="s">
        <v>52</v>
      </c>
      <c r="C28" s="345"/>
      <c r="D28" s="346"/>
      <c r="E28" s="49">
        <v>0</v>
      </c>
      <c r="F28" s="148">
        <v>0</v>
      </c>
      <c r="G28" s="22">
        <v>2086.41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344" t="s">
        <v>24</v>
      </c>
      <c r="C29" s="345"/>
      <c r="D29" s="346"/>
      <c r="E29" s="49">
        <v>0</v>
      </c>
      <c r="F29" s="148">
        <v>0</v>
      </c>
      <c r="G29" s="67">
        <v>1333.93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25</v>
      </c>
      <c r="C30" s="345"/>
      <c r="D30" s="346"/>
      <c r="E30" s="49">
        <v>0</v>
      </c>
      <c r="F30" s="148">
        <v>0</v>
      </c>
      <c r="G30" s="71">
        <v>2193.9899999999998</v>
      </c>
      <c r="H30" s="72" t="s">
        <v>12</v>
      </c>
      <c r="I30" s="73"/>
      <c r="J30" s="74" t="s">
        <v>32</v>
      </c>
      <c r="K30" s="75" t="s">
        <v>33</v>
      </c>
    </row>
    <row r="31" spans="2:11" ht="15" thickBot="1">
      <c r="B31" s="363" t="s">
        <v>29</v>
      </c>
      <c r="C31" s="364"/>
      <c r="D31" s="365"/>
      <c r="E31" s="66">
        <v>0</v>
      </c>
      <c r="F31" s="154">
        <f>SUM(F27:F30)</f>
        <v>0</v>
      </c>
      <c r="G31" s="76"/>
      <c r="H31" s="76"/>
      <c r="I31" s="76"/>
      <c r="J31" s="76"/>
      <c r="K31" s="1"/>
    </row>
    <row r="35" spans="5:6">
      <c r="E35" s="110" t="s">
        <v>113</v>
      </c>
      <c r="F35" s="86"/>
    </row>
    <row r="36" spans="5:6">
      <c r="E36" s="110"/>
      <c r="F36" s="86"/>
    </row>
    <row r="37" spans="5:6">
      <c r="E37" s="82" t="s">
        <v>34</v>
      </c>
      <c r="F37" s="86">
        <f>F17</f>
        <v>173077.8</v>
      </c>
    </row>
    <row r="38" spans="5:6" s="61" customFormat="1" ht="15" customHeight="1">
      <c r="E38" s="82" t="s">
        <v>35</v>
      </c>
      <c r="F38" s="86">
        <f>+F31</f>
        <v>0</v>
      </c>
    </row>
    <row r="39" spans="5:6" s="61" customFormat="1" ht="15" customHeight="1">
      <c r="E39" s="82" t="s">
        <v>36</v>
      </c>
      <c r="F39" s="86">
        <f>495000-365785.28</f>
        <v>129214.71999999997</v>
      </c>
    </row>
    <row r="40" spans="5:6" s="61" customFormat="1" ht="15" customHeight="1">
      <c r="E40" s="82" t="s">
        <v>37</v>
      </c>
      <c r="F40" s="86">
        <v>0</v>
      </c>
    </row>
    <row r="41" spans="5:6" s="61" customFormat="1" ht="15" customHeight="1">
      <c r="E41" s="112" t="s">
        <v>38</v>
      </c>
      <c r="F41" s="111">
        <f>SUM(F37:F40)</f>
        <v>302292.51999999996</v>
      </c>
    </row>
    <row r="42" spans="5:6" s="61" customFormat="1" ht="15" customHeight="1">
      <c r="E42" s="113"/>
      <c r="F42" s="94"/>
    </row>
    <row r="43" spans="5:6" s="61" customFormat="1" ht="15" customHeight="1">
      <c r="E43" s="114" t="s">
        <v>115</v>
      </c>
      <c r="F43" s="94">
        <v>0</v>
      </c>
    </row>
    <row r="44" spans="5:6">
      <c r="E44" s="113" t="s">
        <v>52</v>
      </c>
      <c r="F44" s="154">
        <v>0</v>
      </c>
    </row>
    <row r="45" spans="5:6" s="61" customFormat="1" ht="15" customHeight="1">
      <c r="E45" s="114" t="s">
        <v>116</v>
      </c>
      <c r="F45" s="94">
        <v>0</v>
      </c>
    </row>
    <row r="46" spans="5:6" s="61" customFormat="1" ht="15" customHeight="1">
      <c r="E46" s="116" t="s">
        <v>24</v>
      </c>
      <c r="F46" s="117">
        <v>0</v>
      </c>
    </row>
    <row r="47" spans="5:6" s="61" customFormat="1" ht="15" customHeight="1">
      <c r="E47" s="116" t="s">
        <v>39</v>
      </c>
      <c r="F47" s="117">
        <v>2000</v>
      </c>
    </row>
    <row r="48" spans="5:6" s="61" customFormat="1" ht="15" customHeight="1">
      <c r="E48" s="116" t="s">
        <v>22</v>
      </c>
      <c r="F48" s="117">
        <v>5000</v>
      </c>
    </row>
    <row r="49" spans="5:6" s="61" customFormat="1" ht="15" customHeight="1">
      <c r="E49" s="116" t="s">
        <v>40</v>
      </c>
      <c r="F49" s="94">
        <v>72000</v>
      </c>
    </row>
    <row r="50" spans="5:6" s="61" customFormat="1" ht="15" customHeight="1">
      <c r="E50" s="116" t="s">
        <v>117</v>
      </c>
      <c r="F50" s="94">
        <v>134250.92000000001</v>
      </c>
    </row>
    <row r="51" spans="5:6" s="61" customFormat="1" ht="15" customHeight="1">
      <c r="E51" s="118" t="s">
        <v>41</v>
      </c>
      <c r="F51" s="119">
        <f>SUM(F43:F50)</f>
        <v>213250.92</v>
      </c>
    </row>
    <row r="52" spans="5:6" s="61" customFormat="1" ht="15" customHeight="1">
      <c r="E52" s="118" t="s">
        <v>42</v>
      </c>
      <c r="F52" s="119">
        <f>F41-F51</f>
        <v>89041.599999999948</v>
      </c>
    </row>
    <row r="53" spans="5:6" s="61" customFormat="1">
      <c r="E53" s="82"/>
      <c r="F53" s="80"/>
    </row>
    <row r="54" spans="5:6" s="61" customFormat="1">
      <c r="E54" s="82" t="s">
        <v>43</v>
      </c>
      <c r="F54" s="80">
        <f>43800+180000</f>
        <v>223800</v>
      </c>
    </row>
    <row r="55" spans="5:6" s="61" customFormat="1">
      <c r="E55" s="82" t="s">
        <v>44</v>
      </c>
      <c r="F55" s="80">
        <v>430000</v>
      </c>
    </row>
    <row r="56" spans="5:6" s="61" customFormat="1">
      <c r="E56" s="82" t="s">
        <v>91</v>
      </c>
      <c r="F56" s="117">
        <v>366017.36</v>
      </c>
    </row>
    <row r="57" spans="5:6" s="61" customFormat="1">
      <c r="E57" s="118" t="s">
        <v>46</v>
      </c>
      <c r="F57" s="120">
        <f>SUM(F54:F56)</f>
        <v>1019817.36</v>
      </c>
    </row>
    <row r="58" spans="5:6" s="61" customFormat="1">
      <c r="E58" s="82"/>
      <c r="F58" s="80"/>
    </row>
    <row r="59" spans="5:6" s="61" customFormat="1">
      <c r="E59" s="118" t="s">
        <v>47</v>
      </c>
      <c r="F59" s="120">
        <f>F52-F57</f>
        <v>-930775.76</v>
      </c>
    </row>
  </sheetData>
  <mergeCells count="22">
    <mergeCell ref="B29:D29"/>
    <mergeCell ref="B30:D30"/>
    <mergeCell ref="B31:D31"/>
    <mergeCell ref="G24:K24"/>
    <mergeCell ref="B25:D25"/>
    <mergeCell ref="B26:D26"/>
    <mergeCell ref="G26:H26"/>
    <mergeCell ref="B27:D27"/>
    <mergeCell ref="B28:D28"/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</mergeCells>
  <pageMargins left="0.7" right="0.7" top="0.75" bottom="0.75" header="0.3" footer="0.3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CF994-51FF-4728-9309-BA4892448410}">
  <dimension ref="B6:P63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4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8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576160.79</v>
      </c>
      <c r="F14" s="149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512018.86</v>
      </c>
      <c r="F15" s="150">
        <f>E15+E16+E17</f>
        <v>576160.79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20970.669999999998</v>
      </c>
      <c r="F16" s="150">
        <v>90000</v>
      </c>
      <c r="G16" s="22">
        <v>9639.39</v>
      </c>
      <c r="H16" s="23" t="s">
        <v>8</v>
      </c>
      <c r="I16" s="24"/>
      <c r="J16" s="25">
        <v>78259.13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43171.26</v>
      </c>
      <c r="F17" s="150">
        <f>F15-F16</f>
        <v>486160.79000000004</v>
      </c>
      <c r="G17" s="22">
        <v>23408.63</v>
      </c>
      <c r="H17" s="29" t="s">
        <v>10</v>
      </c>
      <c r="I17" s="30"/>
      <c r="J17" s="25">
        <v>162889.51999999999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5747.42</v>
      </c>
      <c r="F18" s="150"/>
      <c r="G18" s="22">
        <v>10123.24</v>
      </c>
      <c r="H18" s="29" t="s">
        <v>12</v>
      </c>
      <c r="I18" s="30"/>
      <c r="J18" s="25">
        <v>208341.23</v>
      </c>
      <c r="K18" s="31" t="s">
        <v>12</v>
      </c>
    </row>
    <row r="19" spans="2:11">
      <c r="B19" s="344" t="s">
        <v>13</v>
      </c>
      <c r="C19" s="345"/>
      <c r="D19" s="346"/>
      <c r="E19" s="20">
        <v>17546824.48</v>
      </c>
      <c r="F19" s="150"/>
      <c r="G19" s="33"/>
      <c r="H19" s="34"/>
      <c r="I19" s="30"/>
      <c r="J19" s="25">
        <v>62528.98</v>
      </c>
      <c r="K19" s="31" t="s">
        <v>14</v>
      </c>
    </row>
    <row r="20" spans="2:11">
      <c r="B20" s="358" t="s">
        <v>15</v>
      </c>
      <c r="C20" s="359"/>
      <c r="D20" s="360"/>
      <c r="E20" s="35">
        <f>SUM(E21:E23)</f>
        <v>24708</v>
      </c>
      <c r="F20" s="149"/>
      <c r="G20" s="361" t="s">
        <v>16</v>
      </c>
      <c r="H20" s="362"/>
      <c r="I20" s="36"/>
      <c r="J20" s="37"/>
      <c r="K20" s="38"/>
    </row>
    <row r="21" spans="2:11">
      <c r="B21" s="40"/>
      <c r="C21" s="41"/>
      <c r="D21" s="122" t="s">
        <v>121</v>
      </c>
      <c r="E21" s="43">
        <v>3828</v>
      </c>
      <c r="F21" s="149"/>
      <c r="G21" s="44">
        <v>6166.32</v>
      </c>
      <c r="H21" s="29" t="s">
        <v>10</v>
      </c>
      <c r="I21" s="30"/>
      <c r="J21" s="37"/>
      <c r="K21" s="45"/>
    </row>
    <row r="22" spans="2:11">
      <c r="B22" s="40"/>
      <c r="C22" s="41"/>
      <c r="D22" s="122" t="s">
        <v>122</v>
      </c>
      <c r="E22" s="43">
        <v>20880</v>
      </c>
      <c r="F22" s="149"/>
      <c r="G22" s="44">
        <v>14804.35</v>
      </c>
      <c r="H22" s="29" t="s">
        <v>18</v>
      </c>
      <c r="I22" s="30"/>
      <c r="J22" s="50"/>
      <c r="K22" s="38"/>
    </row>
    <row r="23" spans="2:11" ht="15" thickBot="1">
      <c r="B23" s="40"/>
      <c r="C23" s="41"/>
      <c r="D23" s="122"/>
      <c r="E23" s="43"/>
      <c r="F23" s="149"/>
      <c r="G23" s="51"/>
      <c r="H23" s="34"/>
      <c r="I23" s="30"/>
      <c r="J23" s="52"/>
      <c r="K23" s="53"/>
    </row>
    <row r="24" spans="2:11" ht="15" thickBot="1">
      <c r="B24" s="46" t="s">
        <v>17</v>
      </c>
      <c r="C24" s="47"/>
      <c r="D24" s="48"/>
      <c r="E24" s="49">
        <v>48137.02</v>
      </c>
      <c r="F24" s="39"/>
      <c r="G24" s="331" t="s">
        <v>21</v>
      </c>
      <c r="H24" s="332"/>
      <c r="I24" s="332"/>
      <c r="J24" s="332"/>
      <c r="K24" s="333"/>
    </row>
    <row r="25" spans="2:11">
      <c r="B25" s="366" t="s">
        <v>89</v>
      </c>
      <c r="C25" s="367"/>
      <c r="D25" s="368"/>
      <c r="E25" s="49">
        <v>0</v>
      </c>
      <c r="F25" s="39"/>
      <c r="G25" s="54"/>
      <c r="H25" s="55"/>
      <c r="I25" s="56"/>
      <c r="J25" s="57"/>
      <c r="K25" s="58"/>
    </row>
    <row r="26" spans="2:11">
      <c r="B26" s="344" t="s">
        <v>78</v>
      </c>
      <c r="C26" s="345"/>
      <c r="D26" s="346"/>
      <c r="E26" s="49">
        <v>0</v>
      </c>
      <c r="F26" s="39"/>
      <c r="G26" s="347" t="s">
        <v>5</v>
      </c>
      <c r="H26" s="348"/>
      <c r="I26" s="59"/>
      <c r="J26" s="60"/>
      <c r="K26" s="45"/>
    </row>
    <row r="27" spans="2:11">
      <c r="B27" s="344" t="s">
        <v>22</v>
      </c>
      <c r="C27" s="345"/>
      <c r="D27" s="346"/>
      <c r="E27" s="49">
        <v>0</v>
      </c>
      <c r="F27" s="149">
        <v>0</v>
      </c>
      <c r="G27" s="22">
        <f>11630.13-11500</f>
        <v>130.1299999999992</v>
      </c>
      <c r="H27" s="62" t="s">
        <v>9</v>
      </c>
      <c r="I27" s="59"/>
      <c r="J27" s="60"/>
      <c r="K27" s="45"/>
    </row>
    <row r="28" spans="2:11">
      <c r="B28" s="344" t="s">
        <v>64</v>
      </c>
      <c r="C28" s="345"/>
      <c r="D28" s="346"/>
      <c r="E28" s="49">
        <v>139950</v>
      </c>
      <c r="F28" s="149">
        <v>0</v>
      </c>
      <c r="G28" s="22">
        <v>2086.98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344" t="s">
        <v>24</v>
      </c>
      <c r="C29" s="345"/>
      <c r="D29" s="346"/>
      <c r="E29" s="49">
        <v>0</v>
      </c>
      <c r="F29" s="149">
        <v>0</v>
      </c>
      <c r="G29" s="67">
        <v>1333.93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25</v>
      </c>
      <c r="C30" s="345"/>
      <c r="D30" s="346"/>
      <c r="E30" s="49">
        <v>0</v>
      </c>
      <c r="F30" s="149">
        <v>0</v>
      </c>
      <c r="G30" s="71">
        <v>2196.38</v>
      </c>
      <c r="H30" s="72" t="s">
        <v>12</v>
      </c>
      <c r="I30" s="73"/>
      <c r="J30" s="74" t="s">
        <v>32</v>
      </c>
      <c r="K30" s="75" t="s">
        <v>33</v>
      </c>
    </row>
    <row r="31" spans="2:11" ht="15" thickBot="1">
      <c r="B31" s="363" t="s">
        <v>29</v>
      </c>
      <c r="C31" s="364"/>
      <c r="D31" s="365"/>
      <c r="E31" s="66">
        <v>0</v>
      </c>
      <c r="F31" s="39">
        <f>SUM(F27:F30)</f>
        <v>0</v>
      </c>
      <c r="G31" s="76"/>
      <c r="H31" s="76"/>
      <c r="I31" s="76"/>
      <c r="J31" s="76"/>
      <c r="K31" s="1"/>
    </row>
    <row r="35" spans="5:6">
      <c r="E35" s="78" t="s">
        <v>113</v>
      </c>
      <c r="F35" s="88"/>
    </row>
    <row r="36" spans="5:6">
      <c r="E36" s="78"/>
      <c r="F36" s="88"/>
    </row>
    <row r="37" spans="5:6">
      <c r="E37" s="83" t="s">
        <v>34</v>
      </c>
      <c r="F37" s="88">
        <f>F17</f>
        <v>486160.79000000004</v>
      </c>
    </row>
    <row r="38" spans="5:6" s="61" customFormat="1" ht="15" customHeight="1">
      <c r="E38" s="83" t="s">
        <v>35</v>
      </c>
      <c r="F38" s="88">
        <f>+F31</f>
        <v>0</v>
      </c>
    </row>
    <row r="39" spans="5:6" s="61" customFormat="1" ht="15" customHeight="1">
      <c r="E39" s="83" t="s">
        <v>36</v>
      </c>
      <c r="F39" s="88">
        <f>495000-365785.28</f>
        <v>129214.71999999997</v>
      </c>
    </row>
    <row r="40" spans="5:6" s="61" customFormat="1" ht="15" customHeight="1">
      <c r="E40" s="83" t="s">
        <v>37</v>
      </c>
      <c r="F40" s="88">
        <v>0</v>
      </c>
    </row>
    <row r="41" spans="5:6" s="61" customFormat="1" ht="15" customHeight="1">
      <c r="E41" s="85" t="s">
        <v>38</v>
      </c>
      <c r="F41" s="92">
        <f>SUM(F37:F40)</f>
        <v>615375.51</v>
      </c>
    </row>
    <row r="42" spans="5:6" s="61" customFormat="1" ht="15" customHeight="1">
      <c r="E42" s="87"/>
      <c r="F42" s="93"/>
    </row>
    <row r="43" spans="5:6" s="61" customFormat="1" ht="15" customHeight="1">
      <c r="E43" s="89" t="s">
        <v>123</v>
      </c>
      <c r="F43" s="93">
        <v>90000</v>
      </c>
    </row>
    <row r="44" spans="5:6" s="61" customFormat="1" ht="15" customHeight="1">
      <c r="E44" s="89" t="s">
        <v>124</v>
      </c>
      <c r="F44" s="93">
        <v>65000</v>
      </c>
    </row>
    <row r="45" spans="5:6" s="61" customFormat="1" ht="15" customHeight="1">
      <c r="E45" s="89" t="s">
        <v>125</v>
      </c>
      <c r="F45" s="93">
        <v>1450000</v>
      </c>
    </row>
    <row r="46" spans="5:6" s="61" customFormat="1" ht="15" customHeight="1">
      <c r="E46" s="89" t="s">
        <v>126</v>
      </c>
      <c r="F46" s="93">
        <v>65000</v>
      </c>
    </row>
    <row r="47" spans="5:6">
      <c r="E47" s="87" t="s">
        <v>64</v>
      </c>
      <c r="F47" s="39">
        <v>139950</v>
      </c>
    </row>
    <row r="48" spans="5:6" s="61" customFormat="1" ht="15" customHeight="1">
      <c r="E48" s="89" t="s">
        <v>80</v>
      </c>
      <c r="F48" s="93">
        <v>450000</v>
      </c>
    </row>
    <row r="49" spans="5:6" s="61" customFormat="1" ht="15" customHeight="1">
      <c r="E49" s="91" t="s">
        <v>24</v>
      </c>
      <c r="F49" s="95">
        <f>15000+65000+220000</f>
        <v>300000</v>
      </c>
    </row>
    <row r="50" spans="5:6" s="61" customFormat="1" ht="15" customHeight="1">
      <c r="E50" s="91" t="s">
        <v>39</v>
      </c>
      <c r="F50" s="95">
        <v>2000</v>
      </c>
    </row>
    <row r="51" spans="5:6" s="61" customFormat="1" ht="15" customHeight="1">
      <c r="E51" s="91" t="s">
        <v>22</v>
      </c>
      <c r="F51" s="95">
        <v>45000</v>
      </c>
    </row>
    <row r="52" spans="5:6" s="61" customFormat="1" ht="15" customHeight="1">
      <c r="E52" s="91" t="s">
        <v>40</v>
      </c>
      <c r="F52" s="93">
        <v>170000</v>
      </c>
    </row>
    <row r="53" spans="5:6" s="61" customFormat="1" ht="15" customHeight="1">
      <c r="E53" s="91" t="s">
        <v>69</v>
      </c>
      <c r="F53" s="93">
        <v>60000</v>
      </c>
    </row>
    <row r="54" spans="5:6" s="61" customFormat="1" ht="15" customHeight="1">
      <c r="E54" s="91" t="s">
        <v>117</v>
      </c>
      <c r="F54" s="93">
        <v>134250.92000000001</v>
      </c>
    </row>
    <row r="55" spans="5:6" s="61" customFormat="1" ht="15" customHeight="1">
      <c r="E55" s="96" t="s">
        <v>41</v>
      </c>
      <c r="F55" s="97">
        <f>SUM(F43:F54)</f>
        <v>2971200.92</v>
      </c>
    </row>
    <row r="56" spans="5:6" s="61" customFormat="1" ht="15" customHeight="1">
      <c r="E56" s="96" t="s">
        <v>42</v>
      </c>
      <c r="F56" s="97">
        <f>F41-F55</f>
        <v>-2355825.41</v>
      </c>
    </row>
    <row r="57" spans="5:6" s="61" customFormat="1">
      <c r="E57" s="83"/>
      <c r="F57" s="151"/>
    </row>
    <row r="58" spans="5:6" s="61" customFormat="1">
      <c r="E58" s="83" t="s">
        <v>43</v>
      </c>
      <c r="F58" s="151">
        <f>43800+180000</f>
        <v>223800</v>
      </c>
    </row>
    <row r="59" spans="5:6" s="61" customFormat="1">
      <c r="E59" s="83" t="s">
        <v>44</v>
      </c>
      <c r="F59" s="151">
        <v>430000</v>
      </c>
    </row>
    <row r="60" spans="5:6" s="61" customFormat="1">
      <c r="E60" s="83" t="s">
        <v>91</v>
      </c>
      <c r="F60" s="95">
        <v>366713.59999999998</v>
      </c>
    </row>
    <row r="61" spans="5:6" s="61" customFormat="1">
      <c r="E61" s="96" t="s">
        <v>46</v>
      </c>
      <c r="F61" s="99">
        <f>SUM(F58:F60)</f>
        <v>1020513.6</v>
      </c>
    </row>
    <row r="62" spans="5:6" s="61" customFormat="1">
      <c r="E62" s="83"/>
      <c r="F62" s="151"/>
    </row>
    <row r="63" spans="5:6" s="61" customFormat="1">
      <c r="E63" s="96" t="s">
        <v>47</v>
      </c>
      <c r="F63" s="99">
        <f>F56-F61</f>
        <v>-3376339.0100000002</v>
      </c>
    </row>
  </sheetData>
  <mergeCells count="22"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  <mergeCell ref="B29:D29"/>
    <mergeCell ref="B30:D30"/>
    <mergeCell ref="B31:D31"/>
    <mergeCell ref="G24:K24"/>
    <mergeCell ref="B25:D25"/>
    <mergeCell ref="B26:D26"/>
    <mergeCell ref="G26:H26"/>
    <mergeCell ref="B27:D27"/>
    <mergeCell ref="B28:D28"/>
  </mergeCells>
  <pageMargins left="0.7" right="0.7" top="0.75" bottom="0.75" header="0.3" footer="0.3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78948-64C1-4A76-8DCE-11605424D308}">
  <dimension ref="B6:P63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4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8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344270.20999999996</v>
      </c>
      <c r="F14" s="149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268597.86</v>
      </c>
      <c r="F15" s="153">
        <f>E15+E16+E17</f>
        <v>344270.20999999996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30714.67</v>
      </c>
      <c r="F16" s="153">
        <v>90000</v>
      </c>
      <c r="G16" s="22">
        <v>9639.39</v>
      </c>
      <c r="H16" s="23" t="s">
        <v>8</v>
      </c>
      <c r="I16" s="24"/>
      <c r="J16" s="25">
        <v>10726.13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44957.680000000008</v>
      </c>
      <c r="F17" s="153">
        <f>F15-F16</f>
        <v>254270.20999999996</v>
      </c>
      <c r="G17" s="22">
        <v>23408.63</v>
      </c>
      <c r="H17" s="29" t="s">
        <v>10</v>
      </c>
      <c r="I17" s="30"/>
      <c r="J17" s="25">
        <v>130005.52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5752.2300000000014</v>
      </c>
      <c r="F18" s="153"/>
      <c r="G18" s="22">
        <v>11909.66</v>
      </c>
      <c r="H18" s="29" t="s">
        <v>12</v>
      </c>
      <c r="I18" s="30"/>
      <c r="J18" s="25">
        <v>77727.23</v>
      </c>
      <c r="K18" s="31" t="s">
        <v>12</v>
      </c>
    </row>
    <row r="19" spans="2:11">
      <c r="B19" s="344" t="s">
        <v>13</v>
      </c>
      <c r="C19" s="345"/>
      <c r="D19" s="346"/>
      <c r="E19" s="20">
        <v>18466790.760000002</v>
      </c>
      <c r="F19" s="153"/>
      <c r="G19" s="33"/>
      <c r="H19" s="34"/>
      <c r="I19" s="30"/>
      <c r="J19" s="25">
        <v>50138.98</v>
      </c>
      <c r="K19" s="31" t="s">
        <v>14</v>
      </c>
    </row>
    <row r="20" spans="2:11">
      <c r="B20" s="358" t="s">
        <v>15</v>
      </c>
      <c r="C20" s="359"/>
      <c r="D20" s="360"/>
      <c r="E20" s="35">
        <f>SUM(E21:E23)</f>
        <v>0</v>
      </c>
      <c r="F20" s="158">
        <f>SUM(E24:E31)</f>
        <v>372166.2</v>
      </c>
      <c r="G20" s="361" t="s">
        <v>16</v>
      </c>
      <c r="H20" s="362"/>
      <c r="I20" s="36"/>
      <c r="J20" s="37"/>
      <c r="K20" s="38"/>
    </row>
    <row r="21" spans="2:11">
      <c r="B21" s="40"/>
      <c r="C21" s="41"/>
      <c r="D21" s="122"/>
      <c r="E21" s="43">
        <v>0</v>
      </c>
      <c r="F21" s="148">
        <f>+F17-F20</f>
        <v>-117895.99000000005</v>
      </c>
      <c r="G21" s="44">
        <v>6166.32</v>
      </c>
      <c r="H21" s="29" t="s">
        <v>10</v>
      </c>
      <c r="I21" s="30"/>
      <c r="J21" s="37"/>
      <c r="K21" s="45"/>
    </row>
    <row r="22" spans="2:11">
      <c r="B22" s="40"/>
      <c r="C22" s="41"/>
      <c r="D22" s="122"/>
      <c r="E22" s="43">
        <v>0</v>
      </c>
      <c r="F22" s="148"/>
      <c r="G22" s="44">
        <v>24548.35</v>
      </c>
      <c r="H22" s="29" t="s">
        <v>18</v>
      </c>
      <c r="I22" s="30"/>
      <c r="J22" s="50"/>
      <c r="K22" s="38"/>
    </row>
    <row r="23" spans="2:11" ht="15" thickBot="1">
      <c r="B23" s="40"/>
      <c r="C23" s="41"/>
      <c r="D23" s="122"/>
      <c r="E23" s="43"/>
      <c r="F23" s="148"/>
      <c r="G23" s="51"/>
      <c r="H23" s="34"/>
      <c r="I23" s="30"/>
      <c r="J23" s="52"/>
      <c r="K23" s="53"/>
    </row>
    <row r="24" spans="2:11" ht="15" thickBot="1">
      <c r="B24" s="46" t="s">
        <v>17</v>
      </c>
      <c r="C24" s="47"/>
      <c r="D24" s="48"/>
      <c r="E24" s="49">
        <v>0</v>
      </c>
      <c r="F24" s="154"/>
      <c r="G24" s="331" t="s">
        <v>21</v>
      </c>
      <c r="H24" s="332"/>
      <c r="I24" s="332"/>
      <c r="J24" s="332"/>
      <c r="K24" s="333"/>
    </row>
    <row r="25" spans="2:11">
      <c r="B25" s="366" t="s">
        <v>83</v>
      </c>
      <c r="C25" s="367"/>
      <c r="D25" s="368"/>
      <c r="E25" s="49">
        <v>65000</v>
      </c>
      <c r="F25" s="154"/>
      <c r="G25" s="54"/>
      <c r="H25" s="55"/>
      <c r="I25" s="56"/>
      <c r="J25" s="57"/>
      <c r="K25" s="58"/>
    </row>
    <row r="26" spans="2:11">
      <c r="B26" s="344" t="s">
        <v>78</v>
      </c>
      <c r="C26" s="345"/>
      <c r="D26" s="346"/>
      <c r="E26" s="49">
        <v>0</v>
      </c>
      <c r="F26" s="154"/>
      <c r="G26" s="347" t="s">
        <v>5</v>
      </c>
      <c r="H26" s="348"/>
      <c r="I26" s="59"/>
      <c r="J26" s="60"/>
      <c r="K26" s="45"/>
    </row>
    <row r="27" spans="2:11">
      <c r="B27" s="344" t="s">
        <v>22</v>
      </c>
      <c r="C27" s="345"/>
      <c r="D27" s="346"/>
      <c r="E27" s="49">
        <v>7166.2</v>
      </c>
      <c r="F27" s="148">
        <v>0</v>
      </c>
      <c r="G27" s="22">
        <f>11633.6-11500</f>
        <v>133.60000000000036</v>
      </c>
      <c r="H27" s="62" t="s">
        <v>9</v>
      </c>
      <c r="I27" s="59"/>
      <c r="J27" s="60"/>
      <c r="K27" s="45"/>
    </row>
    <row r="28" spans="2:11">
      <c r="B28" s="344" t="s">
        <v>64</v>
      </c>
      <c r="C28" s="345"/>
      <c r="D28" s="346"/>
      <c r="E28" s="49">
        <v>0</v>
      </c>
      <c r="F28" s="148">
        <v>0</v>
      </c>
      <c r="G28" s="22">
        <v>2087.17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344" t="s">
        <v>24</v>
      </c>
      <c r="C29" s="345"/>
      <c r="D29" s="346"/>
      <c r="E29" s="49">
        <v>300000</v>
      </c>
      <c r="F29" s="148">
        <v>0</v>
      </c>
      <c r="G29" s="67">
        <v>1335.18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25</v>
      </c>
      <c r="C30" s="345"/>
      <c r="D30" s="346"/>
      <c r="E30" s="49">
        <v>0</v>
      </c>
      <c r="F30" s="148">
        <v>0</v>
      </c>
      <c r="G30" s="71">
        <v>2196.2800000000002</v>
      </c>
      <c r="H30" s="72" t="s">
        <v>12</v>
      </c>
      <c r="I30" s="73"/>
      <c r="J30" s="74" t="s">
        <v>32</v>
      </c>
      <c r="K30" s="75" t="s">
        <v>33</v>
      </c>
    </row>
    <row r="31" spans="2:11" ht="15" thickBot="1">
      <c r="B31" s="363" t="s">
        <v>29</v>
      </c>
      <c r="C31" s="364"/>
      <c r="D31" s="365"/>
      <c r="E31" s="66">
        <v>0</v>
      </c>
      <c r="F31" s="154">
        <f>SUM(F27:F30)</f>
        <v>0</v>
      </c>
      <c r="G31" s="76"/>
      <c r="H31" s="76"/>
      <c r="I31" s="76"/>
      <c r="J31" s="76"/>
      <c r="K31" s="1"/>
    </row>
    <row r="35" spans="5:7">
      <c r="E35" s="78" t="s">
        <v>113</v>
      </c>
      <c r="F35" s="88"/>
      <c r="G35" s="8"/>
    </row>
    <row r="36" spans="5:7">
      <c r="E36" s="78"/>
      <c r="F36" s="88"/>
      <c r="G36" s="8"/>
    </row>
    <row r="37" spans="5:7">
      <c r="E37" s="83" t="s">
        <v>34</v>
      </c>
      <c r="F37" s="88">
        <f>F17</f>
        <v>254270.20999999996</v>
      </c>
      <c r="G37" s="8"/>
    </row>
    <row r="38" spans="5:7" s="61" customFormat="1" ht="15" customHeight="1">
      <c r="E38" s="83" t="s">
        <v>35</v>
      </c>
      <c r="F38" s="88">
        <f>+F31</f>
        <v>0</v>
      </c>
      <c r="G38" s="8"/>
    </row>
    <row r="39" spans="5:7" s="61" customFormat="1" ht="15" customHeight="1">
      <c r="E39" s="83" t="s">
        <v>36</v>
      </c>
      <c r="F39" s="88">
        <f>495000-365785.28</f>
        <v>129214.71999999997</v>
      </c>
      <c r="G39" s="86"/>
    </row>
    <row r="40" spans="5:7" s="61" customFormat="1" ht="15" customHeight="1">
      <c r="E40" s="83" t="s">
        <v>37</v>
      </c>
      <c r="F40" s="88">
        <v>0</v>
      </c>
      <c r="G40" s="86"/>
    </row>
    <row r="41" spans="5:7" s="61" customFormat="1" ht="15" customHeight="1">
      <c r="E41" s="85" t="s">
        <v>38</v>
      </c>
      <c r="F41" s="92">
        <f>SUM(F37:F40)</f>
        <v>383484.92999999993</v>
      </c>
      <c r="G41" s="86"/>
    </row>
    <row r="42" spans="5:7" s="61" customFormat="1" ht="15" customHeight="1">
      <c r="E42" s="87"/>
      <c r="F42" s="93"/>
      <c r="G42" s="86"/>
    </row>
    <row r="43" spans="5:7" s="61" customFormat="1" ht="15" customHeight="1">
      <c r="E43" s="89" t="s">
        <v>123</v>
      </c>
      <c r="F43" s="93">
        <v>90000</v>
      </c>
      <c r="G43" s="9"/>
    </row>
    <row r="44" spans="5:7" s="61" customFormat="1" ht="15" customHeight="1">
      <c r="E44" s="89" t="s">
        <v>124</v>
      </c>
      <c r="F44" s="93">
        <v>65000</v>
      </c>
      <c r="G44" s="9"/>
    </row>
    <row r="45" spans="5:7" s="61" customFormat="1" ht="15" customHeight="1">
      <c r="E45" s="89" t="s">
        <v>125</v>
      </c>
      <c r="F45" s="93">
        <v>1450000</v>
      </c>
      <c r="G45" s="9"/>
    </row>
    <row r="46" spans="5:7" s="61" customFormat="1" ht="15" customHeight="1">
      <c r="E46" s="89" t="s">
        <v>126</v>
      </c>
      <c r="F46" s="93">
        <v>65000</v>
      </c>
      <c r="G46" s="9"/>
    </row>
    <row r="47" spans="5:7">
      <c r="E47" s="87" t="s">
        <v>64</v>
      </c>
      <c r="F47" s="39">
        <v>0</v>
      </c>
      <c r="G47" s="8"/>
    </row>
    <row r="48" spans="5:7" s="61" customFormat="1" ht="15" customHeight="1">
      <c r="E48" s="89" t="s">
        <v>80</v>
      </c>
      <c r="F48" s="93">
        <v>450000</v>
      </c>
      <c r="G48" s="9"/>
    </row>
    <row r="49" spans="5:7" s="61" customFormat="1" ht="15" customHeight="1">
      <c r="E49" s="91" t="s">
        <v>24</v>
      </c>
      <c r="F49" s="95">
        <f>15000+65000+220000</f>
        <v>300000</v>
      </c>
      <c r="G49" s="9"/>
    </row>
    <row r="50" spans="5:7" s="61" customFormat="1" ht="15" customHeight="1">
      <c r="E50" s="91" t="s">
        <v>39</v>
      </c>
      <c r="F50" s="95">
        <v>2000</v>
      </c>
      <c r="G50" s="9"/>
    </row>
    <row r="51" spans="5:7" s="61" customFormat="1" ht="15" customHeight="1">
      <c r="E51" s="91" t="s">
        <v>22</v>
      </c>
      <c r="F51" s="95">
        <v>45000</v>
      </c>
      <c r="G51" s="9"/>
    </row>
    <row r="52" spans="5:7" s="61" customFormat="1" ht="15" customHeight="1">
      <c r="E52" s="91" t="s">
        <v>40</v>
      </c>
      <c r="F52" s="93">
        <f>170000-50000</f>
        <v>120000</v>
      </c>
      <c r="G52" s="82"/>
    </row>
    <row r="53" spans="5:7" s="61" customFormat="1" ht="15" customHeight="1">
      <c r="E53" s="91" t="s">
        <v>69</v>
      </c>
      <c r="F53" s="93">
        <v>60000</v>
      </c>
      <c r="G53" s="82"/>
    </row>
    <row r="54" spans="5:7" s="61" customFormat="1" ht="15" customHeight="1">
      <c r="E54" s="91" t="s">
        <v>117</v>
      </c>
      <c r="F54" s="93">
        <v>0</v>
      </c>
      <c r="G54" s="94">
        <v>134250.92000000001</v>
      </c>
    </row>
    <row r="55" spans="5:7" s="61" customFormat="1" ht="15" customHeight="1">
      <c r="E55" s="96" t="s">
        <v>41</v>
      </c>
      <c r="F55" s="97">
        <f>SUM(F43:F54)</f>
        <v>2647000</v>
      </c>
      <c r="G55" s="82"/>
    </row>
    <row r="56" spans="5:7" s="61" customFormat="1" ht="15" customHeight="1">
      <c r="E56" s="96" t="s">
        <v>42</v>
      </c>
      <c r="F56" s="97">
        <f>F41-F55</f>
        <v>-2263515.0700000003</v>
      </c>
      <c r="G56" s="8"/>
    </row>
    <row r="57" spans="5:7" s="61" customFormat="1">
      <c r="E57" s="83"/>
      <c r="F57" s="151"/>
      <c r="G57" s="8"/>
    </row>
    <row r="58" spans="5:7" s="61" customFormat="1">
      <c r="E58" s="83" t="s">
        <v>43</v>
      </c>
      <c r="F58" s="151">
        <f>43800+180000</f>
        <v>223800</v>
      </c>
      <c r="G58" s="8"/>
    </row>
    <row r="59" spans="5:7" s="61" customFormat="1">
      <c r="E59" s="83" t="s">
        <v>44</v>
      </c>
      <c r="F59" s="151">
        <v>430000</v>
      </c>
      <c r="G59" s="8"/>
    </row>
    <row r="60" spans="5:7" s="61" customFormat="1">
      <c r="E60" s="83" t="s">
        <v>91</v>
      </c>
      <c r="F60" s="95">
        <v>366945.68</v>
      </c>
      <c r="G60" s="8"/>
    </row>
    <row r="61" spans="5:7" s="61" customFormat="1">
      <c r="E61" s="118" t="s">
        <v>46</v>
      </c>
      <c r="F61" s="120">
        <f>SUM(F58:F60)</f>
        <v>1020745.6799999999</v>
      </c>
      <c r="G61" s="8"/>
    </row>
    <row r="62" spans="5:7" s="61" customFormat="1">
      <c r="E62" s="82"/>
      <c r="F62" s="80"/>
      <c r="G62" s="8"/>
    </row>
    <row r="63" spans="5:7" s="61" customFormat="1">
      <c r="E63" s="118" t="s">
        <v>47</v>
      </c>
      <c r="F63" s="120">
        <f>F56-F61</f>
        <v>-3284260.75</v>
      </c>
      <c r="G63" s="8"/>
    </row>
  </sheetData>
  <mergeCells count="22">
    <mergeCell ref="B29:D29"/>
    <mergeCell ref="B30:D30"/>
    <mergeCell ref="B31:D31"/>
    <mergeCell ref="G24:K24"/>
    <mergeCell ref="B25:D25"/>
    <mergeCell ref="B26:D26"/>
    <mergeCell ref="G26:H26"/>
    <mergeCell ref="B27:D27"/>
    <mergeCell ref="B28:D28"/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DA69A-399D-430E-B557-A9A4BCEAF75C}">
  <dimension ref="B6:P61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79" customWidth="1"/>
    <col min="7" max="7" width="15.7265625" customWidth="1"/>
    <col min="8" max="8" width="19.7265625" customWidth="1"/>
    <col min="9" max="9" width="1.453125" customWidth="1"/>
    <col min="10" max="10" width="24.26953125" customWidth="1"/>
    <col min="11" max="11" width="22.26953125" bestFit="1" customWidth="1"/>
    <col min="12" max="12" width="20.26953125" bestFit="1" customWidth="1"/>
    <col min="13" max="13" width="16.269531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7"/>
      <c r="G6" s="5"/>
      <c r="H6" s="5"/>
      <c r="I6" s="5"/>
      <c r="J6" s="5"/>
      <c r="K6" s="5"/>
    </row>
    <row r="7" spans="2:11">
      <c r="B7" s="1"/>
      <c r="C7" s="1"/>
      <c r="D7" s="1"/>
      <c r="E7" s="1"/>
      <c r="F7" s="2"/>
      <c r="G7" s="1"/>
      <c r="H7" s="1"/>
      <c r="I7" s="1"/>
      <c r="J7" s="1"/>
      <c r="K7" s="1"/>
    </row>
    <row r="8" spans="2:11">
      <c r="B8" s="1"/>
      <c r="C8" s="1"/>
      <c r="D8" s="1"/>
      <c r="E8" s="1"/>
      <c r="F8" s="2"/>
      <c r="G8" s="1"/>
      <c r="H8" s="1"/>
      <c r="I8" s="4"/>
      <c r="J8" s="1"/>
      <c r="K8" s="1"/>
    </row>
    <row r="9" spans="2:11">
      <c r="B9" s="1"/>
      <c r="C9" s="1"/>
      <c r="D9" s="1"/>
      <c r="E9" s="1"/>
      <c r="F9" s="2"/>
      <c r="G9" s="1"/>
      <c r="H9" s="1"/>
      <c r="I9" s="4"/>
      <c r="J9" s="1"/>
      <c r="K9" s="1"/>
    </row>
    <row r="10" spans="2:11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2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2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23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273931.5</v>
      </c>
      <c r="F14" s="107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202841.47</v>
      </c>
      <c r="F15" s="108">
        <f>E15+E16+E17</f>
        <v>273931.5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30409.35</v>
      </c>
      <c r="F16" s="108">
        <v>90000</v>
      </c>
      <c r="G16" s="22">
        <v>12888.39</v>
      </c>
      <c r="H16" s="23" t="s">
        <v>8</v>
      </c>
      <c r="I16" s="24"/>
      <c r="J16" s="25">
        <v>13555.5</v>
      </c>
      <c r="K16" s="26" t="s">
        <v>9</v>
      </c>
    </row>
    <row r="17" spans="2:14">
      <c r="B17" s="352" t="s">
        <v>6</v>
      </c>
      <c r="C17" s="353"/>
      <c r="D17" s="354"/>
      <c r="E17" s="28">
        <f>G16+G17+G18</f>
        <v>40680.68</v>
      </c>
      <c r="F17" s="108">
        <f>F15-F16</f>
        <v>183931.5</v>
      </c>
      <c r="G17" s="22">
        <v>11260.62</v>
      </c>
      <c r="H17" s="29" t="s">
        <v>10</v>
      </c>
      <c r="I17" s="30"/>
      <c r="J17" s="25">
        <v>105075.13</v>
      </c>
      <c r="K17" s="31" t="s">
        <v>10</v>
      </c>
      <c r="L17" s="13"/>
    </row>
    <row r="18" spans="2:14">
      <c r="B18" s="355" t="s">
        <v>11</v>
      </c>
      <c r="C18" s="356"/>
      <c r="D18" s="357"/>
      <c r="E18" s="20">
        <f>G28+G30+G29+G27</f>
        <v>154648.6</v>
      </c>
      <c r="F18" s="109"/>
      <c r="G18" s="22">
        <v>16531.669999999998</v>
      </c>
      <c r="H18" s="29" t="s">
        <v>12</v>
      </c>
      <c r="I18" s="30"/>
      <c r="J18" s="25">
        <v>29628.55</v>
      </c>
      <c r="K18" s="31" t="s">
        <v>12</v>
      </c>
      <c r="L18" s="32"/>
    </row>
    <row r="19" spans="2:14">
      <c r="B19" s="344" t="s">
        <v>13</v>
      </c>
      <c r="C19" s="345"/>
      <c r="D19" s="346"/>
      <c r="E19" s="20">
        <f>19768102.17-E20</f>
        <v>19759074.75</v>
      </c>
      <c r="F19" s="108"/>
      <c r="G19" s="33"/>
      <c r="H19" s="34"/>
      <c r="I19" s="30"/>
      <c r="J19" s="25">
        <v>54582.29</v>
      </c>
      <c r="K19" s="31" t="s">
        <v>14</v>
      </c>
      <c r="L19" s="13"/>
    </row>
    <row r="20" spans="2:14">
      <c r="B20" s="358" t="s">
        <v>15</v>
      </c>
      <c r="C20" s="359"/>
      <c r="D20" s="360"/>
      <c r="E20" s="35">
        <f>SUM(E21:E23)</f>
        <v>9027.42</v>
      </c>
      <c r="F20" s="14"/>
      <c r="G20" s="361" t="s">
        <v>16</v>
      </c>
      <c r="H20" s="362"/>
      <c r="I20" s="36"/>
      <c r="J20" s="37"/>
      <c r="K20" s="38"/>
      <c r="L20" s="39"/>
    </row>
    <row r="21" spans="2:14">
      <c r="B21" s="40"/>
      <c r="C21" s="41"/>
      <c r="D21" s="122" t="s">
        <v>56</v>
      </c>
      <c r="E21" s="43">
        <v>7403.42</v>
      </c>
      <c r="F21" s="14"/>
      <c r="G21" s="44">
        <v>18441.96</v>
      </c>
      <c r="H21" s="29" t="s">
        <v>10</v>
      </c>
      <c r="I21" s="30"/>
      <c r="J21" s="37"/>
      <c r="K21" s="45"/>
      <c r="L21" s="39"/>
    </row>
    <row r="22" spans="2:14">
      <c r="B22" s="40"/>
      <c r="C22" s="41"/>
      <c r="D22" s="122" t="s">
        <v>57</v>
      </c>
      <c r="E22" s="43">
        <v>1624</v>
      </c>
      <c r="F22" s="14"/>
      <c r="G22" s="44">
        <v>11967.39</v>
      </c>
      <c r="H22" s="29" t="s">
        <v>18</v>
      </c>
      <c r="I22" s="30"/>
      <c r="J22" s="50"/>
      <c r="K22" s="38"/>
      <c r="L22" s="39"/>
    </row>
    <row r="23" spans="2:14" ht="15" thickBot="1">
      <c r="B23" s="40"/>
      <c r="C23" s="41"/>
      <c r="D23" s="42"/>
      <c r="E23" s="43"/>
      <c r="F23" s="14"/>
      <c r="G23" s="51"/>
      <c r="H23" s="34"/>
      <c r="I23" s="30"/>
      <c r="J23" s="52"/>
      <c r="K23" s="53"/>
      <c r="L23" s="39"/>
      <c r="N23" t="s">
        <v>20</v>
      </c>
    </row>
    <row r="24" spans="2:14" ht="15" thickBot="1">
      <c r="B24" s="46" t="s">
        <v>17</v>
      </c>
      <c r="C24" s="47"/>
      <c r="D24" s="48"/>
      <c r="E24" s="49">
        <v>0</v>
      </c>
      <c r="F24" s="14"/>
      <c r="G24" s="331" t="s">
        <v>21</v>
      </c>
      <c r="H24" s="332"/>
      <c r="I24" s="332"/>
      <c r="J24" s="332"/>
      <c r="K24" s="333"/>
      <c r="L24" s="39"/>
    </row>
    <row r="25" spans="2:14">
      <c r="B25" s="366" t="s">
        <v>58</v>
      </c>
      <c r="C25" s="367"/>
      <c r="D25" s="368"/>
      <c r="E25" s="49">
        <v>75000</v>
      </c>
      <c r="F25" s="8"/>
      <c r="G25" s="54"/>
      <c r="H25" s="55"/>
      <c r="I25" s="56"/>
      <c r="J25" s="57"/>
      <c r="K25" s="58"/>
      <c r="L25" s="39"/>
    </row>
    <row r="26" spans="2:14">
      <c r="B26" s="344" t="s">
        <v>59</v>
      </c>
      <c r="C26" s="345"/>
      <c r="D26" s="346"/>
      <c r="E26" s="49">
        <v>2493.1999999999998</v>
      </c>
      <c r="F26" s="8"/>
      <c r="G26" s="347" t="s">
        <v>5</v>
      </c>
      <c r="H26" s="348"/>
      <c r="I26" s="59"/>
      <c r="J26" s="60"/>
      <c r="K26" s="45"/>
      <c r="L26" s="61"/>
    </row>
    <row r="27" spans="2:14">
      <c r="B27" s="344" t="s">
        <v>22</v>
      </c>
      <c r="C27" s="345"/>
      <c r="D27" s="346"/>
      <c r="E27" s="49">
        <v>6641.8</v>
      </c>
      <c r="F27" s="9">
        <v>0</v>
      </c>
      <c r="G27" s="22">
        <f>11526.85-11500</f>
        <v>26.850000000000364</v>
      </c>
      <c r="H27" s="62" t="s">
        <v>9</v>
      </c>
      <c r="I27" s="59"/>
      <c r="J27" s="60"/>
      <c r="K27" s="45"/>
      <c r="L27" s="61"/>
    </row>
    <row r="28" spans="2:14">
      <c r="B28" s="344" t="s">
        <v>23</v>
      </c>
      <c r="C28" s="345"/>
      <c r="D28" s="346"/>
      <c r="E28" s="49">
        <v>0</v>
      </c>
      <c r="F28" s="14">
        <v>35000</v>
      </c>
      <c r="G28" s="22">
        <v>37009.56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4">
      <c r="B29" s="344" t="s">
        <v>24</v>
      </c>
      <c r="C29" s="345"/>
      <c r="D29" s="346"/>
      <c r="E29" s="49">
        <v>0</v>
      </c>
      <c r="F29" s="14">
        <v>1000</v>
      </c>
      <c r="G29" s="67">
        <v>1258.44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4" ht="15" thickBot="1">
      <c r="B30" s="344" t="s">
        <v>25</v>
      </c>
      <c r="C30" s="345"/>
      <c r="D30" s="346"/>
      <c r="E30" s="49">
        <v>0</v>
      </c>
      <c r="F30" s="14">
        <v>115000</v>
      </c>
      <c r="G30" s="71">
        <v>116353.75</v>
      </c>
      <c r="H30" s="72" t="s">
        <v>12</v>
      </c>
      <c r="I30" s="73"/>
      <c r="J30" s="74" t="s">
        <v>32</v>
      </c>
      <c r="K30" s="75" t="s">
        <v>33</v>
      </c>
      <c r="L30" s="61"/>
    </row>
    <row r="31" spans="2:14" ht="15" thickBot="1">
      <c r="B31" s="363" t="s">
        <v>29</v>
      </c>
      <c r="C31" s="364"/>
      <c r="D31" s="365"/>
      <c r="E31" s="66">
        <v>0</v>
      </c>
      <c r="F31" s="14">
        <f>SUM(F27:F30)</f>
        <v>151000</v>
      </c>
      <c r="G31" s="76"/>
      <c r="H31" s="76"/>
      <c r="I31" s="76"/>
      <c r="J31" s="76"/>
      <c r="K31" s="1"/>
      <c r="L31" s="77"/>
    </row>
    <row r="35" spans="5:7">
      <c r="E35" s="110" t="s">
        <v>48</v>
      </c>
      <c r="F35" s="110"/>
    </row>
    <row r="36" spans="5:7">
      <c r="E36" s="110"/>
      <c r="F36" s="110"/>
    </row>
    <row r="37" spans="5:7">
      <c r="E37" s="82" t="s">
        <v>34</v>
      </c>
      <c r="F37" s="86">
        <f>F17</f>
        <v>183931.5</v>
      </c>
    </row>
    <row r="38" spans="5:7" s="61" customFormat="1" ht="15" customHeight="1">
      <c r="E38" s="82" t="s">
        <v>35</v>
      </c>
      <c r="F38" s="86">
        <f>+F31</f>
        <v>151000</v>
      </c>
      <c r="G38" s="8"/>
    </row>
    <row r="39" spans="5:7" s="61" customFormat="1" ht="15" customHeight="1">
      <c r="E39" s="82" t="s">
        <v>36</v>
      </c>
      <c r="F39" s="86">
        <v>0</v>
      </c>
      <c r="G39" s="86"/>
    </row>
    <row r="40" spans="5:7" s="61" customFormat="1" ht="15" customHeight="1">
      <c r="E40" s="82" t="s">
        <v>37</v>
      </c>
      <c r="F40" s="86">
        <v>0</v>
      </c>
      <c r="G40" s="86"/>
    </row>
    <row r="41" spans="5:7" s="61" customFormat="1" ht="15" customHeight="1">
      <c r="E41" s="112" t="s">
        <v>38</v>
      </c>
      <c r="F41" s="111">
        <f>SUM(F37:F40)</f>
        <v>334931.5</v>
      </c>
      <c r="G41" s="86"/>
    </row>
    <row r="42" spans="5:7" s="61" customFormat="1" ht="15" customHeight="1">
      <c r="E42" s="113"/>
      <c r="F42" s="94"/>
      <c r="G42" s="9"/>
    </row>
    <row r="43" spans="5:7" s="61" customFormat="1" ht="15" customHeight="1">
      <c r="E43" s="114" t="s">
        <v>49</v>
      </c>
      <c r="F43" s="94">
        <v>75000</v>
      </c>
      <c r="G43" s="9"/>
    </row>
    <row r="44" spans="5:7" s="61" customFormat="1" ht="15" customHeight="1">
      <c r="E44" s="113" t="s">
        <v>51</v>
      </c>
      <c r="F44" s="94">
        <v>0</v>
      </c>
      <c r="G44" s="9"/>
    </row>
    <row r="45" spans="5:7" s="61" customFormat="1" ht="15" customHeight="1">
      <c r="E45" s="115" t="s">
        <v>53</v>
      </c>
      <c r="F45" s="94">
        <v>0</v>
      </c>
      <c r="G45" s="94">
        <v>810000</v>
      </c>
    </row>
    <row r="46" spans="5:7" s="61" customFormat="1" ht="15" customHeight="1">
      <c r="E46" s="116" t="s">
        <v>24</v>
      </c>
      <c r="F46" s="117">
        <v>0</v>
      </c>
      <c r="G46" s="9"/>
    </row>
    <row r="47" spans="5:7" s="61" customFormat="1" ht="15" customHeight="1">
      <c r="E47" s="116" t="s">
        <v>39</v>
      </c>
      <c r="F47" s="117">
        <v>2000</v>
      </c>
      <c r="G47" s="9"/>
    </row>
    <row r="48" spans="5:7" s="61" customFormat="1" ht="15" customHeight="1">
      <c r="E48" s="116" t="s">
        <v>22</v>
      </c>
      <c r="F48" s="117">
        <f>70000-45000</f>
        <v>25000</v>
      </c>
      <c r="G48" s="9"/>
    </row>
    <row r="49" spans="5:7" s="61" customFormat="1" ht="15" customHeight="1">
      <c r="E49" s="116" t="s">
        <v>52</v>
      </c>
      <c r="F49" s="117">
        <v>32000</v>
      </c>
      <c r="G49" s="9"/>
    </row>
    <row r="50" spans="5:7" s="61" customFormat="1" ht="15" customHeight="1">
      <c r="E50" s="116" t="s">
        <v>54</v>
      </c>
      <c r="F50" s="117">
        <v>650000</v>
      </c>
      <c r="G50" s="9"/>
    </row>
    <row r="51" spans="5:7" s="61" customFormat="1" ht="15" customHeight="1">
      <c r="E51" s="116" t="s">
        <v>55</v>
      </c>
      <c r="F51" s="117">
        <v>290000</v>
      </c>
      <c r="G51" s="9"/>
    </row>
    <row r="52" spans="5:7" s="61" customFormat="1" ht="15" customHeight="1">
      <c r="E52" s="116" t="s">
        <v>40</v>
      </c>
      <c r="F52" s="94">
        <f>170000-15000-55000</f>
        <v>100000</v>
      </c>
      <c r="G52" s="82"/>
    </row>
    <row r="53" spans="5:7" s="61" customFormat="1" ht="15" customHeight="1">
      <c r="E53" s="118" t="s">
        <v>41</v>
      </c>
      <c r="F53" s="119">
        <f>SUM(F43:F52)</f>
        <v>1174000</v>
      </c>
      <c r="G53" s="82"/>
    </row>
    <row r="54" spans="5:7" s="61" customFormat="1" ht="15" customHeight="1">
      <c r="E54" s="118" t="s">
        <v>42</v>
      </c>
      <c r="F54" s="119">
        <f>F41-F53</f>
        <v>-839068.5</v>
      </c>
      <c r="G54" s="8"/>
    </row>
    <row r="55" spans="5:7" s="61" customFormat="1">
      <c r="E55" s="82"/>
      <c r="F55" s="82"/>
      <c r="G55" s="8"/>
    </row>
    <row r="56" spans="5:7" s="61" customFormat="1">
      <c r="E56" s="82" t="s">
        <v>43</v>
      </c>
      <c r="F56" s="81">
        <f>43800+180000</f>
        <v>223800</v>
      </c>
      <c r="G56" s="8"/>
    </row>
    <row r="57" spans="5:7" s="61" customFormat="1">
      <c r="E57" s="82" t="s">
        <v>44</v>
      </c>
      <c r="F57" s="81">
        <v>700000</v>
      </c>
      <c r="G57" s="8"/>
    </row>
    <row r="58" spans="5:7" s="61" customFormat="1">
      <c r="E58" s="82" t="s">
        <v>45</v>
      </c>
      <c r="F58" s="117">
        <v>0</v>
      </c>
      <c r="G58" s="8"/>
    </row>
    <row r="59" spans="5:7" s="61" customFormat="1">
      <c r="E59" s="118" t="s">
        <v>46</v>
      </c>
      <c r="F59" s="120">
        <f>SUM(F56:F58)</f>
        <v>923800</v>
      </c>
      <c r="G59" s="8"/>
    </row>
    <row r="60" spans="5:7" s="61" customFormat="1">
      <c r="E60" s="82"/>
      <c r="F60" s="82"/>
      <c r="G60" s="8"/>
    </row>
    <row r="61" spans="5:7" s="61" customFormat="1">
      <c r="E61" s="118" t="s">
        <v>47</v>
      </c>
      <c r="F61" s="121">
        <f>F54-F59</f>
        <v>-1762868.5</v>
      </c>
      <c r="G61" s="8"/>
    </row>
  </sheetData>
  <mergeCells count="22">
    <mergeCell ref="B29:D29"/>
    <mergeCell ref="B30:D30"/>
    <mergeCell ref="B31:D31"/>
    <mergeCell ref="B25:D25"/>
    <mergeCell ref="G24:K24"/>
    <mergeCell ref="B26:D26"/>
    <mergeCell ref="B27:D27"/>
    <mergeCell ref="G26:H26"/>
    <mergeCell ref="B28:D28"/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</mergeCells>
  <pageMargins left="0.7" right="0.7" top="0.75" bottom="0.75" header="0.3" footer="0.3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E6C6E-71A8-4A7C-A115-4B065210A4C6}">
  <dimension ref="B6:P63"/>
  <sheetViews>
    <sheetView showGridLines="0" topLeftCell="A6" workbookViewId="0">
      <selection activeCell="A6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4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8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2007838.0499999998</v>
      </c>
      <c r="F14" s="148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1950959.3399999999</v>
      </c>
      <c r="F15" s="153">
        <f>E15+E16+E17</f>
        <v>2007838.0499999998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31642.67</v>
      </c>
      <c r="F16" s="153">
        <v>90000</v>
      </c>
      <c r="G16" s="22">
        <v>9639.39</v>
      </c>
      <c r="H16" s="23" t="s">
        <v>8</v>
      </c>
      <c r="I16" s="24"/>
      <c r="J16" s="25">
        <v>10726.13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25236.04</v>
      </c>
      <c r="F17" s="153">
        <f>F15-F16</f>
        <v>1917838.0499999998</v>
      </c>
      <c r="G17" s="22">
        <v>4586.79</v>
      </c>
      <c r="H17" s="29" t="s">
        <v>10</v>
      </c>
      <c r="I17" s="30"/>
      <c r="J17" s="25">
        <v>15005.52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5754.0300000000007</v>
      </c>
      <c r="F18" s="153"/>
      <c r="G18" s="22">
        <v>11009.86</v>
      </c>
      <c r="H18" s="29" t="s">
        <v>12</v>
      </c>
      <c r="I18" s="30"/>
      <c r="J18" s="25">
        <v>1914702.52</v>
      </c>
      <c r="K18" s="31" t="s">
        <v>12</v>
      </c>
    </row>
    <row r="19" spans="2:11">
      <c r="B19" s="344" t="s">
        <v>13</v>
      </c>
      <c r="C19" s="345"/>
      <c r="D19" s="346"/>
      <c r="E19" s="20">
        <v>18699243.16</v>
      </c>
      <c r="F19" s="153"/>
      <c r="G19" s="33"/>
      <c r="H19" s="34"/>
      <c r="I19" s="30"/>
      <c r="J19" s="25">
        <v>10525.17</v>
      </c>
      <c r="K19" s="31" t="s">
        <v>14</v>
      </c>
    </row>
    <row r="20" spans="2:11">
      <c r="B20" s="358" t="s">
        <v>15</v>
      </c>
      <c r="C20" s="359"/>
      <c r="D20" s="360"/>
      <c r="E20" s="35">
        <f>SUM(E21:E23)</f>
        <v>0</v>
      </c>
      <c r="F20" s="158">
        <f>SUM(E24:E31)</f>
        <v>112386.78</v>
      </c>
      <c r="G20" s="361" t="s">
        <v>16</v>
      </c>
      <c r="H20" s="362"/>
      <c r="I20" s="36"/>
      <c r="J20" s="37"/>
      <c r="K20" s="38"/>
    </row>
    <row r="21" spans="2:11">
      <c r="B21" s="40"/>
      <c r="C21" s="41"/>
      <c r="D21" s="122"/>
      <c r="E21" s="43">
        <v>0</v>
      </c>
      <c r="F21" s="148">
        <f>+F17-F20</f>
        <v>1805451.2699999998</v>
      </c>
      <c r="G21" s="44">
        <v>6166.32</v>
      </c>
      <c r="H21" s="29" t="s">
        <v>10</v>
      </c>
      <c r="I21" s="30"/>
      <c r="J21" s="37"/>
      <c r="K21" s="45"/>
    </row>
    <row r="22" spans="2:11">
      <c r="B22" s="40"/>
      <c r="C22" s="41"/>
      <c r="D22" s="122"/>
      <c r="E22" s="43">
        <v>0</v>
      </c>
      <c r="F22" s="148"/>
      <c r="G22" s="44">
        <v>25476.35</v>
      </c>
      <c r="H22" s="29" t="s">
        <v>18</v>
      </c>
      <c r="I22" s="30"/>
      <c r="J22" s="50"/>
      <c r="K22" s="38"/>
    </row>
    <row r="23" spans="2:11" ht="15" thickBot="1">
      <c r="B23" s="40"/>
      <c r="C23" s="41"/>
      <c r="D23" s="122"/>
      <c r="E23" s="43">
        <v>0</v>
      </c>
      <c r="F23" s="148"/>
      <c r="G23" s="51"/>
      <c r="H23" s="34"/>
      <c r="I23" s="30"/>
      <c r="J23" s="52"/>
      <c r="K23" s="53"/>
    </row>
    <row r="24" spans="2:11" ht="15" thickBot="1">
      <c r="B24" s="46" t="s">
        <v>17</v>
      </c>
      <c r="C24" s="47"/>
      <c r="D24" s="48"/>
      <c r="E24" s="49">
        <f>60000+52386.78</f>
        <v>112386.78</v>
      </c>
      <c r="F24" s="154"/>
      <c r="G24" s="331" t="s">
        <v>21</v>
      </c>
      <c r="H24" s="332"/>
      <c r="I24" s="332"/>
      <c r="J24" s="332"/>
      <c r="K24" s="333"/>
    </row>
    <row r="25" spans="2:11">
      <c r="B25" s="366" t="s">
        <v>83</v>
      </c>
      <c r="C25" s="367"/>
      <c r="D25" s="368"/>
      <c r="E25" s="49">
        <v>0</v>
      </c>
      <c r="F25" s="154"/>
      <c r="G25" s="54"/>
      <c r="H25" s="55"/>
      <c r="I25" s="56"/>
      <c r="J25" s="57"/>
      <c r="K25" s="58"/>
    </row>
    <row r="26" spans="2:11">
      <c r="B26" s="344" t="s">
        <v>78</v>
      </c>
      <c r="C26" s="345"/>
      <c r="D26" s="346"/>
      <c r="E26" s="49">
        <v>0</v>
      </c>
      <c r="F26" s="154"/>
      <c r="G26" s="347" t="s">
        <v>5</v>
      </c>
      <c r="H26" s="348"/>
      <c r="I26" s="59"/>
      <c r="J26" s="60"/>
      <c r="K26" s="45"/>
    </row>
    <row r="27" spans="2:11">
      <c r="B27" s="344" t="s">
        <v>22</v>
      </c>
      <c r="C27" s="345"/>
      <c r="D27" s="346"/>
      <c r="E27" s="49">
        <v>0</v>
      </c>
      <c r="F27" s="148">
        <v>0</v>
      </c>
      <c r="G27" s="22">
        <f>11633.6-11500</f>
        <v>133.60000000000036</v>
      </c>
      <c r="H27" s="62" t="s">
        <v>9</v>
      </c>
      <c r="I27" s="59"/>
      <c r="J27" s="60"/>
      <c r="K27" s="45"/>
    </row>
    <row r="28" spans="2:11">
      <c r="B28" s="344" t="s">
        <v>64</v>
      </c>
      <c r="C28" s="345"/>
      <c r="D28" s="346"/>
      <c r="E28" s="49">
        <v>0</v>
      </c>
      <c r="F28" s="148">
        <v>0</v>
      </c>
      <c r="G28" s="22">
        <v>2087.36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344" t="s">
        <v>24</v>
      </c>
      <c r="C29" s="345"/>
      <c r="D29" s="346"/>
      <c r="E29" s="49">
        <v>0</v>
      </c>
      <c r="F29" s="148">
        <v>0</v>
      </c>
      <c r="G29" s="67">
        <v>1335.49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25</v>
      </c>
      <c r="C30" s="345"/>
      <c r="D30" s="346"/>
      <c r="E30" s="49">
        <v>0</v>
      </c>
      <c r="F30" s="148">
        <v>0</v>
      </c>
      <c r="G30" s="71">
        <v>2197.58</v>
      </c>
      <c r="H30" s="72" t="s">
        <v>12</v>
      </c>
      <c r="I30" s="73"/>
      <c r="J30" s="74" t="s">
        <v>32</v>
      </c>
      <c r="K30" s="75" t="s">
        <v>33</v>
      </c>
    </row>
    <row r="31" spans="2:11" ht="15" thickBot="1">
      <c r="B31" s="363" t="s">
        <v>29</v>
      </c>
      <c r="C31" s="364"/>
      <c r="D31" s="365"/>
      <c r="E31" s="66">
        <v>0</v>
      </c>
      <c r="F31" s="154">
        <f>SUM(F27:F30)</f>
        <v>0</v>
      </c>
      <c r="G31" s="76"/>
      <c r="H31" s="76"/>
      <c r="I31" s="76"/>
      <c r="J31" s="76"/>
      <c r="K31" s="1"/>
    </row>
    <row r="35" spans="5:7">
      <c r="E35" s="110" t="s">
        <v>127</v>
      </c>
      <c r="F35" s="86"/>
      <c r="G35" s="8"/>
    </row>
    <row r="36" spans="5:7">
      <c r="E36" s="110"/>
      <c r="F36" s="86"/>
      <c r="G36" s="8"/>
    </row>
    <row r="37" spans="5:7">
      <c r="E37" s="82" t="s">
        <v>34</v>
      </c>
      <c r="F37" s="86">
        <f>F17</f>
        <v>1917838.0499999998</v>
      </c>
      <c r="G37" s="8"/>
    </row>
    <row r="38" spans="5:7" s="61" customFormat="1" ht="15" customHeight="1">
      <c r="E38" s="82" t="s">
        <v>35</v>
      </c>
      <c r="F38" s="86">
        <f>+F31</f>
        <v>0</v>
      </c>
      <c r="G38" s="8"/>
    </row>
    <row r="39" spans="5:7" s="61" customFormat="1" ht="15" customHeight="1">
      <c r="E39" s="82" t="s">
        <v>36</v>
      </c>
      <c r="F39" s="86">
        <f>495000-365785.28</f>
        <v>129214.71999999997</v>
      </c>
      <c r="G39" s="86"/>
    </row>
    <row r="40" spans="5:7" s="61" customFormat="1" ht="15" customHeight="1">
      <c r="E40" s="82" t="s">
        <v>37</v>
      </c>
      <c r="F40" s="86">
        <v>0</v>
      </c>
      <c r="G40" s="86"/>
    </row>
    <row r="41" spans="5:7" s="61" customFormat="1" ht="15" customHeight="1">
      <c r="E41" s="112" t="s">
        <v>38</v>
      </c>
      <c r="F41" s="111">
        <f>SUM(F37:F40)</f>
        <v>2047052.7699999998</v>
      </c>
      <c r="G41" s="86"/>
    </row>
    <row r="42" spans="5:7" s="61" customFormat="1" ht="15" customHeight="1">
      <c r="E42" s="113"/>
      <c r="F42" s="94"/>
      <c r="G42" s="86"/>
    </row>
    <row r="43" spans="5:7" s="61" customFormat="1" ht="15" customHeight="1">
      <c r="E43" s="114" t="s">
        <v>123</v>
      </c>
      <c r="F43" s="94">
        <v>90000</v>
      </c>
      <c r="G43" s="9"/>
    </row>
    <row r="44" spans="5:7" s="61" customFormat="1" ht="15" customHeight="1">
      <c r="E44" s="114" t="s">
        <v>124</v>
      </c>
      <c r="F44" s="94">
        <v>0</v>
      </c>
      <c r="G44" s="9"/>
    </row>
    <row r="45" spans="5:7" s="61" customFormat="1" ht="15" customHeight="1">
      <c r="E45" s="114" t="s">
        <v>125</v>
      </c>
      <c r="F45" s="94">
        <v>1450000</v>
      </c>
      <c r="G45" s="9"/>
    </row>
    <row r="46" spans="5:7" s="61" customFormat="1" ht="15" customHeight="1">
      <c r="E46" s="114" t="s">
        <v>126</v>
      </c>
      <c r="F46" s="94">
        <v>65000</v>
      </c>
      <c r="G46" s="9"/>
    </row>
    <row r="47" spans="5:7">
      <c r="E47" s="113" t="s">
        <v>64</v>
      </c>
      <c r="F47" s="154">
        <v>0</v>
      </c>
      <c r="G47" s="8"/>
    </row>
    <row r="48" spans="5:7" s="61" customFormat="1" ht="15" customHeight="1">
      <c r="E48" s="114" t="s">
        <v>80</v>
      </c>
      <c r="F48" s="94">
        <v>450000</v>
      </c>
      <c r="G48" s="9"/>
    </row>
    <row r="49" spans="5:7" s="61" customFormat="1" ht="15" customHeight="1">
      <c r="E49" s="116" t="s">
        <v>24</v>
      </c>
      <c r="F49" s="117">
        <v>0</v>
      </c>
      <c r="G49" s="9"/>
    </row>
    <row r="50" spans="5:7" s="61" customFormat="1" ht="15" customHeight="1">
      <c r="E50" s="116" t="s">
        <v>39</v>
      </c>
      <c r="F50" s="117">
        <v>2000</v>
      </c>
      <c r="G50" s="9"/>
    </row>
    <row r="51" spans="5:7" s="61" customFormat="1" ht="15" customHeight="1">
      <c r="E51" s="116" t="s">
        <v>22</v>
      </c>
      <c r="F51" s="117">
        <v>45000</v>
      </c>
      <c r="G51" s="9"/>
    </row>
    <row r="52" spans="5:7" s="61" customFormat="1" ht="15" customHeight="1">
      <c r="E52" s="116" t="s">
        <v>40</v>
      </c>
      <c r="F52" s="94">
        <f>170000-50000</f>
        <v>120000</v>
      </c>
      <c r="G52" s="82"/>
    </row>
    <row r="53" spans="5:7" s="61" customFormat="1" ht="15" customHeight="1">
      <c r="E53" s="116" t="s">
        <v>128</v>
      </c>
      <c r="F53" s="94">
        <v>60000</v>
      </c>
      <c r="G53" s="82"/>
    </row>
    <row r="54" spans="5:7" s="61" customFormat="1" ht="15" customHeight="1">
      <c r="E54" s="116" t="s">
        <v>117</v>
      </c>
      <c r="F54" s="94">
        <v>0</v>
      </c>
      <c r="G54" s="94">
        <v>134250.92000000001</v>
      </c>
    </row>
    <row r="55" spans="5:7" s="61" customFormat="1" ht="15" customHeight="1">
      <c r="E55" s="118" t="s">
        <v>41</v>
      </c>
      <c r="F55" s="119">
        <f>SUM(F43:F54)</f>
        <v>2282000</v>
      </c>
      <c r="G55" s="82"/>
    </row>
    <row r="56" spans="5:7" s="61" customFormat="1" ht="15" customHeight="1">
      <c r="E56" s="118" t="s">
        <v>42</v>
      </c>
      <c r="F56" s="119">
        <f>F41-F55</f>
        <v>-234947.23000000021</v>
      </c>
      <c r="G56" s="8"/>
    </row>
    <row r="57" spans="5:7" s="61" customFormat="1">
      <c r="E57" s="82"/>
      <c r="F57" s="80"/>
      <c r="G57" s="8"/>
    </row>
    <row r="58" spans="5:7" s="61" customFormat="1">
      <c r="E58" s="82" t="s">
        <v>43</v>
      </c>
      <c r="F58" s="80">
        <f>43800+180000</f>
        <v>223800</v>
      </c>
      <c r="G58" s="8"/>
    </row>
    <row r="59" spans="5:7" s="61" customFormat="1">
      <c r="E59" s="82" t="s">
        <v>44</v>
      </c>
      <c r="F59" s="80">
        <v>430000</v>
      </c>
      <c r="G59" s="8"/>
    </row>
    <row r="60" spans="5:7" s="61" customFormat="1">
      <c r="E60" s="82" t="s">
        <v>91</v>
      </c>
      <c r="F60" s="117">
        <v>387190.58</v>
      </c>
      <c r="G60" s="8"/>
    </row>
    <row r="61" spans="5:7" s="61" customFormat="1">
      <c r="E61" s="118" t="s">
        <v>46</v>
      </c>
      <c r="F61" s="120">
        <f>SUM(F58:F60)</f>
        <v>1040990.5800000001</v>
      </c>
      <c r="G61" s="8"/>
    </row>
    <row r="62" spans="5:7" s="61" customFormat="1">
      <c r="E62" s="82"/>
      <c r="F62" s="80"/>
      <c r="G62" s="8"/>
    </row>
    <row r="63" spans="5:7" s="61" customFormat="1">
      <c r="E63" s="118" t="s">
        <v>47</v>
      </c>
      <c r="F63" s="120">
        <f>F56-F61</f>
        <v>-1275937.8100000003</v>
      </c>
      <c r="G63" s="8"/>
    </row>
  </sheetData>
  <mergeCells count="22"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  <mergeCell ref="B29:D29"/>
    <mergeCell ref="B30:D30"/>
    <mergeCell ref="B31:D31"/>
    <mergeCell ref="G24:K24"/>
    <mergeCell ref="B25:D25"/>
    <mergeCell ref="B26:D26"/>
    <mergeCell ref="G26:H26"/>
    <mergeCell ref="B27:D27"/>
    <mergeCell ref="B28:D28"/>
  </mergeCells>
  <pageMargins left="0.7" right="0.7" top="0.75" bottom="0.75" header="0.3" footer="0.3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9A78E-A499-4331-9A1B-B31A57A4F257}">
  <dimension ref="B6:P63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4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9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6191265.5199999996</v>
      </c>
      <c r="F14" s="149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6093147.6399999997</v>
      </c>
      <c r="F15" s="150">
        <f>E15+E16+E17</f>
        <v>6191265.5199999996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32392.67</v>
      </c>
      <c r="F16" s="150">
        <v>90000</v>
      </c>
      <c r="G16" s="22">
        <v>9639.39</v>
      </c>
      <c r="H16" s="23" t="s">
        <v>8</v>
      </c>
      <c r="I16" s="24"/>
      <c r="J16" s="25">
        <v>7367.41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65725.209999999992</v>
      </c>
      <c r="F17" s="150">
        <f>F15-F16</f>
        <v>6101265.5199999996</v>
      </c>
      <c r="G17" s="22">
        <v>16061.99</v>
      </c>
      <c r="H17" s="29" t="s">
        <v>10</v>
      </c>
      <c r="I17" s="30"/>
      <c r="J17" s="25">
        <v>15005.52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5756.380000000001</v>
      </c>
      <c r="F18" s="150"/>
      <c r="G18" s="22">
        <v>40023.83</v>
      </c>
      <c r="H18" s="29" t="s">
        <v>12</v>
      </c>
      <c r="I18" s="30"/>
      <c r="J18" s="25">
        <v>6062314.29</v>
      </c>
      <c r="K18" s="31" t="s">
        <v>12</v>
      </c>
    </row>
    <row r="19" spans="2:11">
      <c r="B19" s="344" t="s">
        <v>13</v>
      </c>
      <c r="C19" s="345"/>
      <c r="D19" s="346"/>
      <c r="E19" s="20">
        <v>14469320.23</v>
      </c>
      <c r="F19" s="150"/>
      <c r="G19" s="33"/>
      <c r="H19" s="34"/>
      <c r="I19" s="30"/>
      <c r="J19" s="25">
        <v>8460.42</v>
      </c>
      <c r="K19" s="31" t="s">
        <v>14</v>
      </c>
    </row>
    <row r="20" spans="2:11">
      <c r="B20" s="358" t="s">
        <v>15</v>
      </c>
      <c r="C20" s="359"/>
      <c r="D20" s="360"/>
      <c r="E20" s="35">
        <f>SUM(E21:E23)</f>
        <v>4247611.7699999996</v>
      </c>
      <c r="F20" s="159">
        <f>SUM(E24:E31)</f>
        <v>1942435.37</v>
      </c>
      <c r="G20" s="361" t="s">
        <v>16</v>
      </c>
      <c r="H20" s="362"/>
      <c r="I20" s="36"/>
      <c r="J20" s="37"/>
      <c r="K20" s="38"/>
    </row>
    <row r="21" spans="2:11">
      <c r="B21" s="40"/>
      <c r="C21" s="41"/>
      <c r="D21" s="122" t="s">
        <v>90</v>
      </c>
      <c r="E21" s="43">
        <v>4247611.7699999996</v>
      </c>
      <c r="F21" s="149">
        <f>+F17-F20</f>
        <v>4158830.1499999994</v>
      </c>
      <c r="G21" s="44">
        <v>6166.32</v>
      </c>
      <c r="H21" s="29" t="s">
        <v>10</v>
      </c>
      <c r="I21" s="30"/>
      <c r="J21" s="37"/>
      <c r="K21" s="45"/>
    </row>
    <row r="22" spans="2:11">
      <c r="B22" s="40"/>
      <c r="C22" s="41"/>
      <c r="D22" s="122"/>
      <c r="E22" s="43">
        <v>0</v>
      </c>
      <c r="F22" s="149"/>
      <c r="G22" s="44">
        <v>26226.35</v>
      </c>
      <c r="H22" s="29" t="s">
        <v>18</v>
      </c>
      <c r="I22" s="30"/>
      <c r="J22" s="50"/>
      <c r="K22" s="38"/>
    </row>
    <row r="23" spans="2:11" ht="15" thickBot="1">
      <c r="B23" s="40"/>
      <c r="C23" s="41"/>
      <c r="D23" s="122"/>
      <c r="E23" s="43">
        <v>0</v>
      </c>
      <c r="F23" s="149"/>
      <c r="G23" s="51"/>
      <c r="H23" s="34"/>
      <c r="I23" s="30"/>
      <c r="J23" s="52"/>
      <c r="K23" s="53"/>
    </row>
    <row r="24" spans="2:11" ht="15" thickBot="1">
      <c r="B24" s="46" t="s">
        <v>17</v>
      </c>
      <c r="C24" s="47"/>
      <c r="D24" s="48"/>
      <c r="E24" s="49">
        <v>0</v>
      </c>
      <c r="F24" s="39"/>
      <c r="G24" s="331" t="s">
        <v>21</v>
      </c>
      <c r="H24" s="332"/>
      <c r="I24" s="332"/>
      <c r="J24" s="332"/>
      <c r="K24" s="333"/>
    </row>
    <row r="25" spans="2:11">
      <c r="B25" s="366" t="s">
        <v>77</v>
      </c>
      <c r="C25" s="367"/>
      <c r="D25" s="368"/>
      <c r="E25" s="49">
        <v>1400000</v>
      </c>
      <c r="F25" s="39"/>
      <c r="G25" s="54"/>
      <c r="H25" s="55"/>
      <c r="I25" s="56"/>
      <c r="J25" s="57"/>
      <c r="K25" s="58"/>
    </row>
    <row r="26" spans="2:11">
      <c r="B26" s="344" t="s">
        <v>78</v>
      </c>
      <c r="C26" s="345"/>
      <c r="D26" s="346"/>
      <c r="E26" s="49">
        <v>65000</v>
      </c>
      <c r="F26" s="39"/>
      <c r="G26" s="347" t="s">
        <v>5</v>
      </c>
      <c r="H26" s="348"/>
      <c r="I26" s="59"/>
      <c r="J26" s="60"/>
      <c r="K26" s="45"/>
    </row>
    <row r="27" spans="2:11">
      <c r="B27" s="344" t="s">
        <v>89</v>
      </c>
      <c r="C27" s="345"/>
      <c r="D27" s="346"/>
      <c r="E27" s="49">
        <v>90000</v>
      </c>
      <c r="F27" s="149">
        <v>0</v>
      </c>
      <c r="G27" s="22">
        <f>11635.45-11500</f>
        <v>135.45000000000073</v>
      </c>
      <c r="H27" s="62" t="s">
        <v>9</v>
      </c>
      <c r="I27" s="59"/>
      <c r="J27" s="60"/>
      <c r="K27" s="45"/>
    </row>
    <row r="28" spans="2:11">
      <c r="B28" s="344" t="s">
        <v>64</v>
      </c>
      <c r="C28" s="345"/>
      <c r="D28" s="346"/>
      <c r="E28" s="49">
        <v>0</v>
      </c>
      <c r="F28" s="149">
        <v>0</v>
      </c>
      <c r="G28" s="22">
        <v>2087.5500000000002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344" t="s">
        <v>24</v>
      </c>
      <c r="C29" s="345"/>
      <c r="D29" s="346"/>
      <c r="E29" s="49">
        <v>0</v>
      </c>
      <c r="F29" s="149">
        <v>0</v>
      </c>
      <c r="G29" s="67">
        <v>1335.8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25</v>
      </c>
      <c r="C30" s="345"/>
      <c r="D30" s="346"/>
      <c r="E30" s="49">
        <v>0</v>
      </c>
      <c r="F30" s="149">
        <v>0</v>
      </c>
      <c r="G30" s="71">
        <v>2197.58</v>
      </c>
      <c r="H30" s="72" t="s">
        <v>12</v>
      </c>
      <c r="I30" s="73"/>
      <c r="J30" s="74" t="s">
        <v>32</v>
      </c>
      <c r="K30" s="75" t="s">
        <v>33</v>
      </c>
    </row>
    <row r="31" spans="2:11" ht="15" thickBot="1">
      <c r="B31" s="363" t="s">
        <v>29</v>
      </c>
      <c r="C31" s="364"/>
      <c r="D31" s="365"/>
      <c r="E31" s="66">
        <f>+F60</f>
        <v>387435.37</v>
      </c>
      <c r="F31" s="39">
        <f>SUM(F27:F30)</f>
        <v>0</v>
      </c>
      <c r="G31" s="76"/>
      <c r="H31" s="76"/>
      <c r="I31" s="76"/>
      <c r="J31" s="76"/>
      <c r="K31" s="1"/>
    </row>
    <row r="35" spans="5:7">
      <c r="E35" s="161" t="s">
        <v>127</v>
      </c>
      <c r="F35" s="162"/>
      <c r="G35" s="8"/>
    </row>
    <row r="36" spans="5:7">
      <c r="E36" s="161"/>
      <c r="F36" s="162"/>
      <c r="G36" s="8"/>
    </row>
    <row r="37" spans="5:7">
      <c r="E37" s="61" t="s">
        <v>34</v>
      </c>
      <c r="F37" s="162">
        <f>F17</f>
        <v>6101265.5199999996</v>
      </c>
      <c r="G37" s="8"/>
    </row>
    <row r="38" spans="5:7" s="61" customFormat="1" ht="15" customHeight="1">
      <c r="E38" s="61" t="s">
        <v>35</v>
      </c>
      <c r="F38" s="162">
        <f>+F31</f>
        <v>0</v>
      </c>
      <c r="G38" s="8"/>
    </row>
    <row r="39" spans="5:7" s="61" customFormat="1" ht="15" customHeight="1">
      <c r="E39" s="61" t="s">
        <v>36</v>
      </c>
      <c r="F39" s="162">
        <f>495000-365785.28</f>
        <v>129214.71999999997</v>
      </c>
      <c r="G39" s="86"/>
    </row>
    <row r="40" spans="5:7" s="61" customFormat="1" ht="15" customHeight="1">
      <c r="E40" s="61" t="s">
        <v>37</v>
      </c>
      <c r="F40" s="162">
        <v>0</v>
      </c>
      <c r="G40" s="86"/>
    </row>
    <row r="41" spans="5:7" s="61" customFormat="1" ht="15" customHeight="1">
      <c r="E41" s="163" t="s">
        <v>38</v>
      </c>
      <c r="F41" s="164">
        <f>SUM(F37:F40)</f>
        <v>6230480.2399999993</v>
      </c>
      <c r="G41" s="86"/>
    </row>
    <row r="42" spans="5:7" s="61" customFormat="1" ht="15" customHeight="1">
      <c r="E42" s="165"/>
      <c r="F42" s="166"/>
      <c r="G42" s="88"/>
    </row>
    <row r="43" spans="5:7" s="61" customFormat="1" ht="15" customHeight="1">
      <c r="E43" s="167" t="s">
        <v>123</v>
      </c>
      <c r="F43" s="166">
        <v>90000</v>
      </c>
      <c r="G43" s="13"/>
    </row>
    <row r="44" spans="5:7" s="61" customFormat="1" ht="15" customHeight="1">
      <c r="E44" s="167" t="s">
        <v>124</v>
      </c>
      <c r="F44" s="166">
        <v>0</v>
      </c>
      <c r="G44" s="13"/>
    </row>
    <row r="45" spans="5:7" s="61" customFormat="1" ht="15" customHeight="1">
      <c r="E45" s="167" t="s">
        <v>125</v>
      </c>
      <c r="F45" s="166">
        <v>1400000</v>
      </c>
      <c r="G45" s="13"/>
    </row>
    <row r="46" spans="5:7" s="61" customFormat="1" ht="15" customHeight="1">
      <c r="E46" s="167" t="s">
        <v>126</v>
      </c>
      <c r="F46" s="166">
        <v>65000</v>
      </c>
      <c r="G46" s="13"/>
    </row>
    <row r="47" spans="5:7">
      <c r="E47" s="165" t="s">
        <v>64</v>
      </c>
      <c r="F47" s="160">
        <v>0</v>
      </c>
      <c r="G47" s="61"/>
    </row>
    <row r="48" spans="5:7" s="61" customFormat="1" ht="15" customHeight="1">
      <c r="E48" s="167" t="s">
        <v>80</v>
      </c>
      <c r="F48" s="166">
        <v>450000</v>
      </c>
    </row>
    <row r="49" spans="5:7" s="61" customFormat="1" ht="15" customHeight="1">
      <c r="E49" s="168" t="s">
        <v>24</v>
      </c>
      <c r="F49" s="169">
        <v>0</v>
      </c>
    </row>
    <row r="50" spans="5:7" s="61" customFormat="1" ht="15" customHeight="1">
      <c r="E50" s="168" t="s">
        <v>39</v>
      </c>
      <c r="F50" s="169">
        <v>2000</v>
      </c>
    </row>
    <row r="51" spans="5:7" s="61" customFormat="1" ht="15" customHeight="1">
      <c r="E51" s="168" t="s">
        <v>22</v>
      </c>
      <c r="F51" s="169">
        <v>45000</v>
      </c>
    </row>
    <row r="52" spans="5:7" s="61" customFormat="1" ht="15" customHeight="1">
      <c r="E52" s="168" t="s">
        <v>40</v>
      </c>
      <c r="F52" s="166">
        <f>170000-50000-50000</f>
        <v>70000</v>
      </c>
    </row>
    <row r="53" spans="5:7" s="61" customFormat="1" ht="15" customHeight="1">
      <c r="E53" s="168" t="s">
        <v>128</v>
      </c>
      <c r="F53" s="166">
        <v>60000</v>
      </c>
    </row>
    <row r="54" spans="5:7" s="61" customFormat="1" ht="15" customHeight="1">
      <c r="E54" s="168" t="s">
        <v>117</v>
      </c>
      <c r="F54" s="166">
        <v>0</v>
      </c>
      <c r="G54" s="166">
        <v>134250.92000000001</v>
      </c>
    </row>
    <row r="55" spans="5:7" s="61" customFormat="1" ht="15" customHeight="1">
      <c r="E55" s="170" t="s">
        <v>41</v>
      </c>
      <c r="F55" s="171">
        <f>SUM(F43:F54)</f>
        <v>2182000</v>
      </c>
    </row>
    <row r="56" spans="5:7" s="61" customFormat="1" ht="15" customHeight="1">
      <c r="E56" s="170" t="s">
        <v>42</v>
      </c>
      <c r="F56" s="171">
        <f>F41-F55</f>
        <v>4048480.2399999993</v>
      </c>
    </row>
    <row r="57" spans="5:7" s="61" customFormat="1">
      <c r="F57" s="160"/>
    </row>
    <row r="58" spans="5:7" s="61" customFormat="1">
      <c r="E58" s="61" t="s">
        <v>43</v>
      </c>
      <c r="F58" s="160">
        <f>43800+180000</f>
        <v>223800</v>
      </c>
    </row>
    <row r="59" spans="5:7" s="61" customFormat="1">
      <c r="E59" s="61" t="s">
        <v>44</v>
      </c>
      <c r="F59" s="160">
        <v>430000</v>
      </c>
    </row>
    <row r="60" spans="5:7" s="61" customFormat="1">
      <c r="E60" s="61" t="s">
        <v>91</v>
      </c>
      <c r="F60" s="169">
        <v>387435.37</v>
      </c>
    </row>
    <row r="61" spans="5:7" s="61" customFormat="1">
      <c r="E61" s="170" t="s">
        <v>46</v>
      </c>
      <c r="F61" s="172">
        <f>SUM(F58:F60)</f>
        <v>1041235.37</v>
      </c>
    </row>
    <row r="62" spans="5:7" s="61" customFormat="1">
      <c r="F62" s="160"/>
    </row>
    <row r="63" spans="5:7" s="61" customFormat="1">
      <c r="E63" s="170" t="s">
        <v>47</v>
      </c>
      <c r="F63" s="172">
        <f>F56-F61</f>
        <v>3007244.8699999992</v>
      </c>
      <c r="G63" s="8"/>
    </row>
  </sheetData>
  <mergeCells count="22"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  <mergeCell ref="B29:D29"/>
    <mergeCell ref="B30:D30"/>
    <mergeCell ref="B31:D31"/>
    <mergeCell ref="G24:K24"/>
    <mergeCell ref="B25:D25"/>
    <mergeCell ref="B26:D26"/>
    <mergeCell ref="G26:H26"/>
    <mergeCell ref="B27:D27"/>
    <mergeCell ref="B28:D28"/>
  </mergeCells>
  <pageMargins left="0.7" right="0.7" top="0.75" bottom="0.75" header="0.3" footer="0.3"/>
  <drawing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04AFB-73A9-42F1-B42E-CD15816AD4E6}">
  <dimension ref="B6:P63"/>
  <sheetViews>
    <sheetView showGridLines="0" topLeftCell="A14" workbookViewId="0">
      <selection activeCell="A14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4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9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1268971.3500000001</v>
      </c>
      <c r="F14" s="149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1182999.27</v>
      </c>
      <c r="F15" s="150">
        <f>E15+E16+E17</f>
        <v>1268971.3500000001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38199.47</v>
      </c>
      <c r="F16" s="150">
        <v>90000</v>
      </c>
      <c r="G16" s="22">
        <v>9639.39</v>
      </c>
      <c r="H16" s="23" t="s">
        <v>8</v>
      </c>
      <c r="I16" s="24"/>
      <c r="J16" s="25">
        <v>14078.04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47772.61</v>
      </c>
      <c r="F17" s="150">
        <f>F15-F16</f>
        <v>1178971.3500000001</v>
      </c>
      <c r="G17" s="22">
        <v>14054.19</v>
      </c>
      <c r="H17" s="29" t="s">
        <v>10</v>
      </c>
      <c r="I17" s="30"/>
      <c r="J17" s="25">
        <v>10247.120000000001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5759.54</v>
      </c>
      <c r="F18" s="150"/>
      <c r="G18" s="22">
        <v>24079.03</v>
      </c>
      <c r="H18" s="29" t="s">
        <v>12</v>
      </c>
      <c r="I18" s="30"/>
      <c r="J18" s="25">
        <v>1146733.29</v>
      </c>
      <c r="K18" s="31" t="s">
        <v>12</v>
      </c>
    </row>
    <row r="19" spans="2:11">
      <c r="B19" s="344" t="s">
        <v>13</v>
      </c>
      <c r="C19" s="345"/>
      <c r="D19" s="346"/>
      <c r="E19" s="20">
        <v>14465028.23</v>
      </c>
      <c r="F19" s="150"/>
      <c r="G19" s="33"/>
      <c r="H19" s="34"/>
      <c r="I19" s="30"/>
      <c r="J19" s="25">
        <v>11940.82</v>
      </c>
      <c r="K19" s="31" t="s">
        <v>14</v>
      </c>
    </row>
    <row r="20" spans="2:11">
      <c r="B20" s="358" t="s">
        <v>15</v>
      </c>
      <c r="C20" s="359"/>
      <c r="D20" s="360"/>
      <c r="E20" s="35">
        <f>SUM(E21:E23)</f>
        <v>4292</v>
      </c>
      <c r="F20" s="159">
        <f>SUM(E24:E31)</f>
        <v>614356.11</v>
      </c>
      <c r="G20" s="361" t="s">
        <v>16</v>
      </c>
      <c r="H20" s="362"/>
      <c r="I20" s="36"/>
      <c r="J20" s="37"/>
      <c r="K20" s="38"/>
    </row>
    <row r="21" spans="2:11">
      <c r="B21" s="40"/>
      <c r="C21" s="41"/>
      <c r="D21" s="122" t="s">
        <v>129</v>
      </c>
      <c r="E21" s="43">
        <v>2436</v>
      </c>
      <c r="F21" s="149">
        <f>+F17-F20</f>
        <v>564615.24000000011</v>
      </c>
      <c r="G21" s="44">
        <v>11973.12</v>
      </c>
      <c r="H21" s="29" t="s">
        <v>10</v>
      </c>
      <c r="I21" s="30"/>
      <c r="J21" s="37"/>
      <c r="K21" s="45"/>
    </row>
    <row r="22" spans="2:11">
      <c r="B22" s="40"/>
      <c r="C22" s="41"/>
      <c r="D22" s="122" t="s">
        <v>130</v>
      </c>
      <c r="E22" s="43">
        <v>1856</v>
      </c>
      <c r="F22" s="149"/>
      <c r="G22" s="44">
        <v>26226.35</v>
      </c>
      <c r="H22" s="29" t="s">
        <v>18</v>
      </c>
      <c r="I22" s="30"/>
      <c r="J22" s="50"/>
      <c r="K22" s="38"/>
    </row>
    <row r="23" spans="2:11" ht="15" thickBot="1">
      <c r="B23" s="40"/>
      <c r="C23" s="41"/>
      <c r="D23" s="122"/>
      <c r="E23" s="43">
        <v>0</v>
      </c>
      <c r="F23" s="149"/>
      <c r="G23" s="51"/>
      <c r="H23" s="34"/>
      <c r="I23" s="30"/>
      <c r="J23" s="52"/>
      <c r="K23" s="53"/>
    </row>
    <row r="24" spans="2:11" ht="15" thickBot="1">
      <c r="B24" s="46" t="s">
        <v>17</v>
      </c>
      <c r="C24" s="47"/>
      <c r="D24" s="48"/>
      <c r="E24" s="49">
        <v>30703.42</v>
      </c>
      <c r="F24" s="39"/>
      <c r="G24" s="331" t="s">
        <v>21</v>
      </c>
      <c r="H24" s="332"/>
      <c r="I24" s="332"/>
      <c r="J24" s="332"/>
      <c r="K24" s="333"/>
    </row>
    <row r="25" spans="2:11">
      <c r="B25" s="366" t="s">
        <v>77</v>
      </c>
      <c r="C25" s="367"/>
      <c r="D25" s="368"/>
      <c r="E25" s="49">
        <v>0</v>
      </c>
      <c r="F25" s="39"/>
      <c r="G25" s="54"/>
      <c r="H25" s="55"/>
      <c r="I25" s="56"/>
      <c r="J25" s="57"/>
      <c r="K25" s="58"/>
    </row>
    <row r="26" spans="2:11">
      <c r="B26" s="344" t="s">
        <v>78</v>
      </c>
      <c r="C26" s="345"/>
      <c r="D26" s="346"/>
      <c r="E26" s="49">
        <v>0</v>
      </c>
      <c r="F26" s="39"/>
      <c r="G26" s="347" t="s">
        <v>5</v>
      </c>
      <c r="H26" s="348"/>
      <c r="I26" s="59"/>
      <c r="J26" s="60"/>
      <c r="K26" s="45"/>
    </row>
    <row r="27" spans="2:11">
      <c r="B27" s="344" t="s">
        <v>80</v>
      </c>
      <c r="C27" s="345"/>
      <c r="D27" s="346"/>
      <c r="E27" s="49">
        <v>447341.89</v>
      </c>
      <c r="F27" s="149">
        <v>0</v>
      </c>
      <c r="G27" s="22">
        <f>11637.23-11500</f>
        <v>137.22999999999956</v>
      </c>
      <c r="H27" s="62" t="s">
        <v>9</v>
      </c>
      <c r="I27" s="59"/>
      <c r="J27" s="60"/>
      <c r="K27" s="45"/>
    </row>
    <row r="28" spans="2:11">
      <c r="B28" s="344" t="s">
        <v>22</v>
      </c>
      <c r="C28" s="345"/>
      <c r="D28" s="346"/>
      <c r="E28" s="49">
        <f>50000+6310.8</f>
        <v>56310.8</v>
      </c>
      <c r="F28" s="149">
        <v>0</v>
      </c>
      <c r="G28" s="22">
        <v>2087.7399999999998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344" t="s">
        <v>24</v>
      </c>
      <c r="C29" s="345"/>
      <c r="D29" s="346"/>
      <c r="E29" s="49">
        <v>0</v>
      </c>
      <c r="F29" s="149">
        <v>0</v>
      </c>
      <c r="G29" s="67">
        <v>1335.8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25</v>
      </c>
      <c r="C30" s="345"/>
      <c r="D30" s="346"/>
      <c r="E30" s="49">
        <v>60000</v>
      </c>
      <c r="F30" s="149">
        <v>0</v>
      </c>
      <c r="G30" s="71">
        <v>2198.77</v>
      </c>
      <c r="H30" s="72" t="s">
        <v>12</v>
      </c>
      <c r="I30" s="73"/>
      <c r="J30" s="74" t="s">
        <v>32</v>
      </c>
      <c r="K30" s="75" t="s">
        <v>33</v>
      </c>
    </row>
    <row r="31" spans="2:11" ht="15" thickBot="1">
      <c r="B31" s="363" t="s">
        <v>29</v>
      </c>
      <c r="C31" s="364"/>
      <c r="D31" s="365"/>
      <c r="E31" s="66">
        <v>20000</v>
      </c>
      <c r="F31" s="39">
        <f>SUM(F27:F30)</f>
        <v>0</v>
      </c>
      <c r="G31" s="76"/>
      <c r="H31" s="76"/>
      <c r="I31" s="76"/>
      <c r="J31" s="76"/>
      <c r="K31" s="1"/>
    </row>
    <row r="35" spans="5:7">
      <c r="E35" s="161" t="s">
        <v>127</v>
      </c>
      <c r="F35" s="162"/>
      <c r="G35" s="8"/>
    </row>
    <row r="36" spans="5:7">
      <c r="E36" s="161"/>
      <c r="F36" s="162"/>
      <c r="G36" s="8"/>
    </row>
    <row r="37" spans="5:7">
      <c r="E37" s="61" t="s">
        <v>34</v>
      </c>
      <c r="F37" s="162">
        <f>F17</f>
        <v>1178971.3500000001</v>
      </c>
      <c r="G37" s="8"/>
    </row>
    <row r="38" spans="5:7" s="61" customFormat="1" ht="15" customHeight="1">
      <c r="E38" s="61" t="s">
        <v>35</v>
      </c>
      <c r="F38" s="162">
        <f>+F31</f>
        <v>0</v>
      </c>
      <c r="G38" s="8"/>
    </row>
    <row r="39" spans="5:7" s="61" customFormat="1" ht="15" customHeight="1">
      <c r="E39" s="61" t="s">
        <v>36</v>
      </c>
      <c r="F39" s="162">
        <v>0</v>
      </c>
      <c r="G39" s="86"/>
    </row>
    <row r="40" spans="5:7" s="61" customFormat="1" ht="15" customHeight="1">
      <c r="E40" s="61" t="s">
        <v>37</v>
      </c>
      <c r="F40" s="162">
        <v>0</v>
      </c>
      <c r="G40" s="86"/>
    </row>
    <row r="41" spans="5:7" s="61" customFormat="1" ht="15" customHeight="1">
      <c r="E41" s="163" t="s">
        <v>38</v>
      </c>
      <c r="F41" s="164">
        <f>SUM(F37:F40)</f>
        <v>1178971.3500000001</v>
      </c>
      <c r="G41" s="86"/>
    </row>
    <row r="42" spans="5:7" s="61" customFormat="1" ht="15" customHeight="1">
      <c r="E42" s="165"/>
      <c r="F42" s="166"/>
      <c r="G42" s="86"/>
    </row>
    <row r="43" spans="5:7" s="61" customFormat="1" ht="15" customHeight="1">
      <c r="E43" s="167" t="s">
        <v>123</v>
      </c>
      <c r="F43" s="166">
        <v>0</v>
      </c>
      <c r="G43" s="9"/>
    </row>
    <row r="44" spans="5:7" s="61" customFormat="1" ht="15" customHeight="1">
      <c r="E44" s="167" t="s">
        <v>124</v>
      </c>
      <c r="F44" s="166">
        <v>0</v>
      </c>
      <c r="G44" s="9"/>
    </row>
    <row r="45" spans="5:7" s="61" customFormat="1" ht="15" customHeight="1">
      <c r="E45" s="167" t="s">
        <v>125</v>
      </c>
      <c r="F45" s="166">
        <v>0</v>
      </c>
      <c r="G45" s="9"/>
    </row>
    <row r="46" spans="5:7" s="61" customFormat="1" ht="15" customHeight="1">
      <c r="E46" s="167" t="s">
        <v>126</v>
      </c>
      <c r="F46" s="166">
        <v>0</v>
      </c>
      <c r="G46" s="9"/>
    </row>
    <row r="47" spans="5:7">
      <c r="E47" s="165" t="s">
        <v>64</v>
      </c>
      <c r="F47" s="160">
        <v>0</v>
      </c>
      <c r="G47" s="8"/>
    </row>
    <row r="48" spans="5:7" s="61" customFormat="1" ht="15" customHeight="1">
      <c r="E48" s="167" t="s">
        <v>80</v>
      </c>
      <c r="F48" s="166">
        <v>450000</v>
      </c>
      <c r="G48" s="8"/>
    </row>
    <row r="49" spans="5:7" s="61" customFormat="1" ht="15" customHeight="1">
      <c r="E49" s="168" t="s">
        <v>24</v>
      </c>
      <c r="F49" s="169">
        <v>0</v>
      </c>
      <c r="G49" s="8"/>
    </row>
    <row r="50" spans="5:7" s="61" customFormat="1" ht="15" customHeight="1">
      <c r="E50" s="168" t="s">
        <v>39</v>
      </c>
      <c r="F50" s="169">
        <v>2000</v>
      </c>
      <c r="G50" s="8"/>
    </row>
    <row r="51" spans="5:7" s="61" customFormat="1" ht="15" customHeight="1">
      <c r="E51" s="168" t="s">
        <v>22</v>
      </c>
      <c r="F51" s="169">
        <v>45000</v>
      </c>
      <c r="G51" s="8"/>
    </row>
    <row r="52" spans="5:7" s="61" customFormat="1" ht="15" customHeight="1">
      <c r="E52" s="168" t="s">
        <v>40</v>
      </c>
      <c r="F52" s="166">
        <f>170000-50000-50000</f>
        <v>70000</v>
      </c>
      <c r="G52" s="8"/>
    </row>
    <row r="53" spans="5:7" s="61" customFormat="1" ht="15" customHeight="1">
      <c r="E53" s="168" t="s">
        <v>128</v>
      </c>
      <c r="F53" s="166">
        <v>60000</v>
      </c>
      <c r="G53" s="8"/>
    </row>
    <row r="54" spans="5:7" s="61" customFormat="1" ht="15" customHeight="1">
      <c r="E54" s="168" t="s">
        <v>117</v>
      </c>
      <c r="F54" s="166">
        <v>0</v>
      </c>
      <c r="G54" s="174">
        <v>134250.92000000001</v>
      </c>
    </row>
    <row r="55" spans="5:7" s="61" customFormat="1" ht="15" customHeight="1">
      <c r="E55" s="170" t="s">
        <v>41</v>
      </c>
      <c r="F55" s="171">
        <f>SUM(F43:F54)</f>
        <v>627000</v>
      </c>
      <c r="G55" s="8"/>
    </row>
    <row r="56" spans="5:7" s="61" customFormat="1" ht="15" customHeight="1">
      <c r="E56" s="170" t="s">
        <v>42</v>
      </c>
      <c r="F56" s="171">
        <f>F41-F55</f>
        <v>551971.35000000009</v>
      </c>
      <c r="G56" s="8"/>
    </row>
    <row r="57" spans="5:7" s="61" customFormat="1">
      <c r="E57" s="8"/>
      <c r="F57" s="173"/>
      <c r="G57" s="8"/>
    </row>
    <row r="58" spans="5:7" s="61" customFormat="1">
      <c r="E58" s="8" t="s">
        <v>43</v>
      </c>
      <c r="F58" s="173">
        <f>43800+180000</f>
        <v>223800</v>
      </c>
      <c r="G58" s="8"/>
    </row>
    <row r="59" spans="5:7" s="61" customFormat="1">
      <c r="E59" s="8" t="s">
        <v>44</v>
      </c>
      <c r="F59" s="173">
        <v>430000</v>
      </c>
      <c r="G59" s="8"/>
    </row>
    <row r="60" spans="5:7" s="61" customFormat="1">
      <c r="E60" s="8" t="s">
        <v>91</v>
      </c>
      <c r="F60" s="175">
        <v>0</v>
      </c>
      <c r="G60" s="8"/>
    </row>
    <row r="61" spans="5:7" s="61" customFormat="1">
      <c r="E61" s="177" t="s">
        <v>46</v>
      </c>
      <c r="F61" s="176">
        <f>SUM(F58:F60)</f>
        <v>653800</v>
      </c>
      <c r="G61" s="8"/>
    </row>
    <row r="62" spans="5:7" s="61" customFormat="1">
      <c r="E62" s="8"/>
      <c r="F62" s="173"/>
      <c r="G62" s="8"/>
    </row>
    <row r="63" spans="5:7" s="61" customFormat="1">
      <c r="E63" s="177" t="s">
        <v>47</v>
      </c>
      <c r="F63" s="176">
        <f>F56-F61</f>
        <v>-101828.64999999991</v>
      </c>
      <c r="G63" s="8"/>
    </row>
  </sheetData>
  <mergeCells count="22">
    <mergeCell ref="B29:D29"/>
    <mergeCell ref="B30:D30"/>
    <mergeCell ref="B31:D31"/>
    <mergeCell ref="G24:K24"/>
    <mergeCell ref="B25:D25"/>
    <mergeCell ref="B26:D26"/>
    <mergeCell ref="G26:H26"/>
    <mergeCell ref="B27:D27"/>
    <mergeCell ref="B28:D28"/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</mergeCells>
  <pageMargins left="0.7" right="0.7" top="0.75" bottom="0.75" header="0.3" footer="0.3"/>
  <drawing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82F3E-7B3F-4095-AC0E-3313962A0960}">
  <dimension ref="B6:P58"/>
  <sheetViews>
    <sheetView showGridLines="0" topLeftCell="A26" workbookViewId="0">
      <selection activeCell="H47" sqref="H47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4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9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802285.32000000007</v>
      </c>
      <c r="F14" s="149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735886.46000000008</v>
      </c>
      <c r="F15" s="150">
        <f>E15+E16+E17</f>
        <v>802285.32000000007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24740.47</v>
      </c>
      <c r="F16" s="150">
        <v>90000</v>
      </c>
      <c r="G16" s="22">
        <v>9639.39</v>
      </c>
      <c r="H16" s="23" t="s">
        <v>8</v>
      </c>
      <c r="I16" s="24"/>
      <c r="J16" s="25">
        <v>13624.25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41658.39</v>
      </c>
      <c r="F17" s="150">
        <f>F15-F16</f>
        <v>712285.32000000007</v>
      </c>
      <c r="G17" s="22">
        <v>14080.63</v>
      </c>
      <c r="H17" s="29" t="s">
        <v>10</v>
      </c>
      <c r="I17" s="30"/>
      <c r="J17" s="25">
        <v>104707.32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5768.4500000000007</v>
      </c>
      <c r="F18" s="150"/>
      <c r="G18" s="22">
        <v>17938.37</v>
      </c>
      <c r="H18" s="29" t="s">
        <v>12</v>
      </c>
      <c r="I18" s="30"/>
      <c r="J18" s="25">
        <v>586430.05000000005</v>
      </c>
      <c r="K18" s="31" t="s">
        <v>12</v>
      </c>
    </row>
    <row r="19" spans="2:11">
      <c r="B19" s="344" t="s">
        <v>13</v>
      </c>
      <c r="C19" s="345"/>
      <c r="D19" s="346"/>
      <c r="E19" s="20">
        <v>14523638.42</v>
      </c>
      <c r="F19" s="150"/>
      <c r="G19" s="33"/>
      <c r="H19" s="34"/>
      <c r="I19" s="30"/>
      <c r="J19" s="25">
        <v>31124.84</v>
      </c>
      <c r="K19" s="31" t="s">
        <v>14</v>
      </c>
    </row>
    <row r="20" spans="2:11">
      <c r="B20" s="358" t="s">
        <v>15</v>
      </c>
      <c r="C20" s="359"/>
      <c r="D20" s="360"/>
      <c r="E20" s="35">
        <f>SUM(E21:E23)</f>
        <v>14198.67</v>
      </c>
      <c r="F20" s="159">
        <f>SUM(E24:E31)</f>
        <v>90177.64</v>
      </c>
      <c r="G20" s="361" t="s">
        <v>16</v>
      </c>
      <c r="H20" s="362"/>
      <c r="I20" s="36"/>
      <c r="J20" s="37"/>
      <c r="K20" s="38"/>
    </row>
    <row r="21" spans="2:11">
      <c r="B21" s="40"/>
      <c r="C21" s="41"/>
      <c r="D21" s="122" t="s">
        <v>132</v>
      </c>
      <c r="E21" s="43">
        <v>14198.67</v>
      </c>
      <c r="F21" s="149">
        <f>+F17-F20</f>
        <v>622107.68000000005</v>
      </c>
      <c r="G21" s="44">
        <v>11973.12</v>
      </c>
      <c r="H21" s="29" t="s">
        <v>10</v>
      </c>
      <c r="I21" s="30"/>
      <c r="J21" s="37"/>
      <c r="K21" s="45"/>
    </row>
    <row r="22" spans="2:11">
      <c r="B22" s="40"/>
      <c r="C22" s="41"/>
      <c r="D22" s="122"/>
      <c r="E22" s="43">
        <v>0</v>
      </c>
      <c r="F22" s="149"/>
      <c r="G22" s="44">
        <v>12767.35</v>
      </c>
      <c r="H22" s="29" t="s">
        <v>18</v>
      </c>
      <c r="I22" s="30"/>
      <c r="J22" s="50"/>
      <c r="K22" s="38"/>
    </row>
    <row r="23" spans="2:11" ht="15" thickBot="1">
      <c r="B23" s="40"/>
      <c r="C23" s="41"/>
      <c r="D23" s="122"/>
      <c r="E23" s="43">
        <v>0</v>
      </c>
      <c r="F23" s="149"/>
      <c r="G23" s="51"/>
      <c r="H23" s="34"/>
      <c r="I23" s="30"/>
      <c r="J23" s="52"/>
      <c r="K23" s="53"/>
    </row>
    <row r="24" spans="2:11" ht="15" thickBot="1">
      <c r="B24" s="46" t="s">
        <v>17</v>
      </c>
      <c r="C24" s="47"/>
      <c r="D24" s="48"/>
      <c r="E24" s="49">
        <v>40177.64</v>
      </c>
      <c r="F24" s="39"/>
      <c r="G24" s="331" t="s">
        <v>21</v>
      </c>
      <c r="H24" s="332"/>
      <c r="I24" s="332"/>
      <c r="J24" s="332"/>
      <c r="K24" s="333"/>
    </row>
    <row r="25" spans="2:11">
      <c r="B25" s="366" t="s">
        <v>77</v>
      </c>
      <c r="C25" s="367"/>
      <c r="D25" s="368"/>
      <c r="E25" s="49">
        <v>0</v>
      </c>
      <c r="F25" s="39"/>
      <c r="G25" s="54"/>
      <c r="H25" s="55"/>
      <c r="I25" s="56"/>
      <c r="J25" s="57"/>
      <c r="K25" s="58"/>
    </row>
    <row r="26" spans="2:11">
      <c r="B26" s="344" t="s">
        <v>78</v>
      </c>
      <c r="C26" s="345"/>
      <c r="D26" s="346"/>
      <c r="E26" s="49">
        <v>0</v>
      </c>
      <c r="F26" s="39"/>
      <c r="G26" s="347" t="s">
        <v>5</v>
      </c>
      <c r="H26" s="348"/>
      <c r="I26" s="59"/>
      <c r="J26" s="60"/>
      <c r="K26" s="45"/>
    </row>
    <row r="27" spans="2:11">
      <c r="B27" s="344" t="s">
        <v>80</v>
      </c>
      <c r="C27" s="345"/>
      <c r="D27" s="346"/>
      <c r="E27" s="49">
        <v>0</v>
      </c>
      <c r="F27" s="149">
        <v>0</v>
      </c>
      <c r="G27" s="22">
        <f>11642.54-11500</f>
        <v>142.54000000000087</v>
      </c>
      <c r="H27" s="62" t="s">
        <v>9</v>
      </c>
      <c r="I27" s="59"/>
      <c r="J27" s="60"/>
      <c r="K27" s="45"/>
    </row>
    <row r="28" spans="2:11">
      <c r="B28" s="344" t="s">
        <v>22</v>
      </c>
      <c r="C28" s="345"/>
      <c r="D28" s="346"/>
      <c r="E28" s="49">
        <f>50000</f>
        <v>50000</v>
      </c>
      <c r="F28" s="149">
        <v>0</v>
      </c>
      <c r="G28" s="22">
        <v>2088.31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344" t="s">
        <v>24</v>
      </c>
      <c r="C29" s="345"/>
      <c r="D29" s="346"/>
      <c r="E29" s="49">
        <v>0</v>
      </c>
      <c r="F29" s="149">
        <v>0</v>
      </c>
      <c r="G29" s="67">
        <v>1337.04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25</v>
      </c>
      <c r="C30" s="345"/>
      <c r="D30" s="346"/>
      <c r="E30" s="49">
        <v>0</v>
      </c>
      <c r="F30" s="149">
        <v>0</v>
      </c>
      <c r="G30" s="71">
        <v>2200.56</v>
      </c>
      <c r="H30" s="72" t="s">
        <v>12</v>
      </c>
      <c r="I30" s="73"/>
      <c r="J30" s="74" t="s">
        <v>32</v>
      </c>
      <c r="K30" s="75" t="s">
        <v>33</v>
      </c>
    </row>
    <row r="31" spans="2:11" ht="15" thickBot="1">
      <c r="B31" s="363" t="s">
        <v>29</v>
      </c>
      <c r="C31" s="364"/>
      <c r="D31" s="365"/>
      <c r="E31" s="66">
        <v>0</v>
      </c>
      <c r="F31" s="39">
        <f>SUM(F27:F30)</f>
        <v>0</v>
      </c>
      <c r="G31" s="76"/>
      <c r="H31" s="76"/>
      <c r="I31" s="76"/>
      <c r="J31" s="76"/>
      <c r="K31" s="1"/>
    </row>
    <row r="35" spans="5:7">
      <c r="E35" s="161" t="s">
        <v>131</v>
      </c>
      <c r="F35" s="162"/>
      <c r="G35" s="8"/>
    </row>
    <row r="36" spans="5:7">
      <c r="E36" s="161"/>
      <c r="F36" s="162"/>
      <c r="G36" s="8"/>
    </row>
    <row r="37" spans="5:7">
      <c r="E37" s="61" t="s">
        <v>34</v>
      </c>
      <c r="F37" s="162">
        <f>F17</f>
        <v>712285.32000000007</v>
      </c>
      <c r="G37" s="8"/>
    </row>
    <row r="38" spans="5:7" s="61" customFormat="1" ht="15" customHeight="1">
      <c r="E38" s="61" t="s">
        <v>35</v>
      </c>
      <c r="F38" s="162">
        <f>+F31</f>
        <v>0</v>
      </c>
      <c r="G38" s="8"/>
    </row>
    <row r="39" spans="5:7" s="61" customFormat="1" ht="15" customHeight="1">
      <c r="E39" s="61" t="s">
        <v>36</v>
      </c>
      <c r="F39" s="162">
        <v>495000</v>
      </c>
      <c r="G39" s="88"/>
    </row>
    <row r="40" spans="5:7" s="61" customFormat="1" ht="15" customHeight="1">
      <c r="E40" s="61" t="s">
        <v>37</v>
      </c>
      <c r="F40" s="162">
        <v>0</v>
      </c>
      <c r="G40" s="88">
        <v>600000</v>
      </c>
    </row>
    <row r="41" spans="5:7" s="61" customFormat="1" ht="15" customHeight="1">
      <c r="E41" s="163" t="s">
        <v>38</v>
      </c>
      <c r="F41" s="164">
        <f>SUM(F37:F40)</f>
        <v>1207285.32</v>
      </c>
      <c r="G41" s="88"/>
    </row>
    <row r="42" spans="5:7" s="61" customFormat="1" ht="15" customHeight="1">
      <c r="E42" s="165"/>
      <c r="F42" s="166"/>
      <c r="G42" s="88"/>
    </row>
    <row r="43" spans="5:7" s="61" customFormat="1" ht="15" customHeight="1">
      <c r="E43" s="167" t="s">
        <v>133</v>
      </c>
      <c r="F43" s="166">
        <v>85000</v>
      </c>
      <c r="G43" s="13"/>
    </row>
    <row r="44" spans="5:7" s="61" customFormat="1" ht="15" customHeight="1">
      <c r="E44" s="167" t="s">
        <v>81</v>
      </c>
      <c r="F44" s="166">
        <v>600000</v>
      </c>
    </row>
    <row r="45" spans="5:7" s="61" customFormat="1" ht="15" customHeight="1">
      <c r="E45" s="168" t="s">
        <v>24</v>
      </c>
      <c r="F45" s="169">
        <f>15000+65000</f>
        <v>80000</v>
      </c>
    </row>
    <row r="46" spans="5:7" s="61" customFormat="1" ht="15" customHeight="1">
      <c r="E46" s="168" t="s">
        <v>39</v>
      </c>
      <c r="F46" s="169">
        <v>2000</v>
      </c>
    </row>
    <row r="47" spans="5:7" s="61" customFormat="1" ht="15" customHeight="1">
      <c r="E47" s="168" t="s">
        <v>22</v>
      </c>
      <c r="F47" s="169">
        <v>120000</v>
      </c>
    </row>
    <row r="48" spans="5:7" s="61" customFormat="1" ht="15" customHeight="1">
      <c r="E48" s="168" t="s">
        <v>40</v>
      </c>
      <c r="F48" s="166">
        <v>100000</v>
      </c>
    </row>
    <row r="49" spans="5:6" s="61" customFormat="1" ht="15" customHeight="1">
      <c r="E49" s="168" t="s">
        <v>117</v>
      </c>
      <c r="F49" s="166">
        <v>134250.92000000001</v>
      </c>
    </row>
    <row r="50" spans="5:6" s="61" customFormat="1" ht="15" customHeight="1">
      <c r="E50" s="170" t="s">
        <v>41</v>
      </c>
      <c r="F50" s="171">
        <f>SUM(F43:F49)</f>
        <v>1121250.92</v>
      </c>
    </row>
    <row r="51" spans="5:6" s="61" customFormat="1" ht="15" customHeight="1">
      <c r="E51" s="170" t="s">
        <v>42</v>
      </c>
      <c r="F51" s="171">
        <f>F41-F50</f>
        <v>86034.40000000014</v>
      </c>
    </row>
    <row r="52" spans="5:6" s="61" customFormat="1">
      <c r="F52" s="160"/>
    </row>
    <row r="53" spans="5:6" s="61" customFormat="1">
      <c r="E53" s="61" t="s">
        <v>43</v>
      </c>
      <c r="F53" s="160">
        <f>43800+180000</f>
        <v>223800</v>
      </c>
    </row>
    <row r="54" spans="5:6" s="61" customFormat="1">
      <c r="E54" s="61" t="s">
        <v>44</v>
      </c>
      <c r="F54" s="160">
        <v>430000</v>
      </c>
    </row>
    <row r="55" spans="5:6" s="61" customFormat="1">
      <c r="E55" s="61" t="s">
        <v>91</v>
      </c>
      <c r="F55" s="169">
        <v>0</v>
      </c>
    </row>
    <row r="56" spans="5:6" s="61" customFormat="1">
      <c r="E56" s="170" t="s">
        <v>46</v>
      </c>
      <c r="F56" s="172">
        <f>SUM(F53:F55)</f>
        <v>653800</v>
      </c>
    </row>
    <row r="57" spans="5:6" s="61" customFormat="1">
      <c r="F57" s="160"/>
    </row>
    <row r="58" spans="5:6" s="61" customFormat="1">
      <c r="E58" s="170" t="s">
        <v>47</v>
      </c>
      <c r="F58" s="172">
        <f>F51-F56</f>
        <v>-567765.59999999986</v>
      </c>
    </row>
  </sheetData>
  <mergeCells count="22">
    <mergeCell ref="B29:D29"/>
    <mergeCell ref="B30:D30"/>
    <mergeCell ref="B31:D31"/>
    <mergeCell ref="G24:K24"/>
    <mergeCell ref="B25:D25"/>
    <mergeCell ref="B26:D26"/>
    <mergeCell ref="G26:H26"/>
    <mergeCell ref="B27:D27"/>
    <mergeCell ref="B28:D28"/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</mergeCells>
  <pageMargins left="0.7" right="0.7" top="0.75" bottom="0.75" header="0.3" footer="0.3"/>
  <drawing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6F982-A1A6-464F-A9A0-DF3A726D1BF4}">
  <dimension ref="B6:P61"/>
  <sheetViews>
    <sheetView showGridLines="0" topLeftCell="A26" workbookViewId="0">
      <selection activeCell="A26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4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9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893185.34999999986</v>
      </c>
      <c r="F14" s="149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813626.14999999991</v>
      </c>
      <c r="F15" s="150">
        <f>E15+E16+E17</f>
        <v>893185.34999999986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24740.47</v>
      </c>
      <c r="F16" s="150">
        <v>90000</v>
      </c>
      <c r="G16" s="22">
        <v>9639.39</v>
      </c>
      <c r="H16" s="23" t="s">
        <v>8</v>
      </c>
      <c r="I16" s="24"/>
      <c r="J16" s="25">
        <v>10285.77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54818.729999999996</v>
      </c>
      <c r="F17" s="150">
        <f>F15-F16</f>
        <v>803185.34999999986</v>
      </c>
      <c r="G17" s="22">
        <v>12120.23</v>
      </c>
      <c r="H17" s="29" t="s">
        <v>10</v>
      </c>
      <c r="I17" s="30"/>
      <c r="J17" s="25">
        <v>104707.32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5771.329999999999</v>
      </c>
      <c r="F18" s="150"/>
      <c r="G18" s="22">
        <v>33059.11</v>
      </c>
      <c r="H18" s="29" t="s">
        <v>12</v>
      </c>
      <c r="I18" s="30"/>
      <c r="J18" s="25">
        <v>667508.22</v>
      </c>
      <c r="K18" s="31" t="s">
        <v>12</v>
      </c>
    </row>
    <row r="19" spans="2:11">
      <c r="B19" s="344" t="s">
        <v>13</v>
      </c>
      <c r="C19" s="345"/>
      <c r="D19" s="346"/>
      <c r="E19" s="20">
        <v>14715473.07</v>
      </c>
      <c r="F19" s="150"/>
      <c r="G19" s="33"/>
      <c r="H19" s="34"/>
      <c r="I19" s="30"/>
      <c r="J19" s="25">
        <v>31124.84</v>
      </c>
      <c r="K19" s="31" t="s">
        <v>14</v>
      </c>
    </row>
    <row r="20" spans="2:11">
      <c r="B20" s="358" t="s">
        <v>15</v>
      </c>
      <c r="C20" s="359"/>
      <c r="D20" s="360"/>
      <c r="E20" s="35">
        <f>SUM(E21:E23)</f>
        <v>131078.17000000001</v>
      </c>
      <c r="F20" s="159">
        <f>SUM(E24:E31)</f>
        <v>1240484</v>
      </c>
      <c r="G20" s="361" t="s">
        <v>16</v>
      </c>
      <c r="H20" s="362"/>
      <c r="I20" s="36"/>
      <c r="J20" s="37"/>
      <c r="K20" s="38"/>
    </row>
    <row r="21" spans="2:11">
      <c r="B21" s="40"/>
      <c r="C21" s="41"/>
      <c r="D21" s="122" t="s">
        <v>90</v>
      </c>
      <c r="E21" s="43">
        <v>131078.17000000001</v>
      </c>
      <c r="F21" s="149">
        <f>+F17-F20</f>
        <v>-437298.65000000014</v>
      </c>
      <c r="G21" s="44">
        <v>11973.12</v>
      </c>
      <c r="H21" s="29" t="s">
        <v>10</v>
      </c>
      <c r="I21" s="30"/>
      <c r="J21" s="37"/>
      <c r="K21" s="45"/>
    </row>
    <row r="22" spans="2:11">
      <c r="B22" s="40"/>
      <c r="C22" s="41"/>
      <c r="D22" s="122"/>
      <c r="E22" s="43">
        <v>0</v>
      </c>
      <c r="F22" s="149"/>
      <c r="G22" s="44">
        <v>12767.35</v>
      </c>
      <c r="H22" s="29" t="s">
        <v>18</v>
      </c>
      <c r="I22" s="30"/>
      <c r="J22" s="50"/>
      <c r="K22" s="38"/>
    </row>
    <row r="23" spans="2:11" ht="15" thickBot="1">
      <c r="B23" s="40"/>
      <c r="C23" s="41"/>
      <c r="D23" s="122"/>
      <c r="E23" s="43">
        <v>0</v>
      </c>
      <c r="F23" s="149"/>
      <c r="G23" s="51"/>
      <c r="H23" s="34"/>
      <c r="I23" s="30"/>
      <c r="J23" s="52"/>
      <c r="K23" s="53"/>
    </row>
    <row r="24" spans="2:11" ht="15" thickBot="1">
      <c r="B24" s="46" t="s">
        <v>17</v>
      </c>
      <c r="C24" s="47"/>
      <c r="D24" s="48"/>
      <c r="E24" s="49">
        <v>0</v>
      </c>
      <c r="F24" s="39"/>
      <c r="G24" s="331" t="s">
        <v>21</v>
      </c>
      <c r="H24" s="332"/>
      <c r="I24" s="332"/>
      <c r="J24" s="332"/>
      <c r="K24" s="333"/>
    </row>
    <row r="25" spans="2:11">
      <c r="B25" s="366" t="s">
        <v>77</v>
      </c>
      <c r="C25" s="367"/>
      <c r="D25" s="368"/>
      <c r="E25" s="49">
        <v>0</v>
      </c>
      <c r="F25" s="39"/>
      <c r="G25" s="54"/>
      <c r="H25" s="55"/>
      <c r="I25" s="56"/>
      <c r="J25" s="57"/>
      <c r="K25" s="58"/>
    </row>
    <row r="26" spans="2:11">
      <c r="B26" s="344" t="s">
        <v>78</v>
      </c>
      <c r="C26" s="345"/>
      <c r="D26" s="346"/>
      <c r="E26" s="49">
        <v>0</v>
      </c>
      <c r="F26" s="39"/>
      <c r="G26" s="347" t="s">
        <v>5</v>
      </c>
      <c r="H26" s="348"/>
      <c r="I26" s="59"/>
      <c r="J26" s="60"/>
      <c r="K26" s="45"/>
    </row>
    <row r="27" spans="2:11">
      <c r="B27" s="344" t="s">
        <v>80</v>
      </c>
      <c r="C27" s="345"/>
      <c r="D27" s="346"/>
      <c r="E27" s="49">
        <v>0</v>
      </c>
      <c r="F27" s="149">
        <v>0</v>
      </c>
      <c r="G27" s="22">
        <f>11644.31-11500</f>
        <v>144.30999999999949</v>
      </c>
      <c r="H27" s="62" t="s">
        <v>9</v>
      </c>
      <c r="I27" s="59"/>
      <c r="J27" s="60"/>
      <c r="K27" s="45"/>
    </row>
    <row r="28" spans="2:11">
      <c r="B28" s="344" t="s">
        <v>22</v>
      </c>
      <c r="C28" s="345"/>
      <c r="D28" s="346"/>
      <c r="E28" s="49">
        <v>23519</v>
      </c>
      <c r="F28" s="149">
        <v>0</v>
      </c>
      <c r="G28" s="22">
        <v>2088.5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344" t="s">
        <v>24</v>
      </c>
      <c r="C29" s="345"/>
      <c r="D29" s="346"/>
      <c r="E29" s="49">
        <f>15000+65000</f>
        <v>80000</v>
      </c>
      <c r="F29" s="149">
        <v>0</v>
      </c>
      <c r="G29" s="67">
        <v>1337.36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25</v>
      </c>
      <c r="C30" s="345"/>
      <c r="D30" s="346"/>
      <c r="E30" s="49">
        <v>0</v>
      </c>
      <c r="F30" s="149">
        <v>0</v>
      </c>
      <c r="G30" s="71">
        <v>2201.16</v>
      </c>
      <c r="H30" s="72" t="s">
        <v>12</v>
      </c>
      <c r="I30" s="73"/>
      <c r="J30" s="74" t="s">
        <v>32</v>
      </c>
      <c r="K30" s="75" t="s">
        <v>33</v>
      </c>
    </row>
    <row r="31" spans="2:11" ht="15" thickBot="1">
      <c r="B31" s="363" t="s">
        <v>29</v>
      </c>
      <c r="C31" s="364"/>
      <c r="D31" s="365"/>
      <c r="E31" s="66">
        <f>1586965-450000</f>
        <v>1136965</v>
      </c>
      <c r="F31" s="39">
        <f>SUM(F27:F30)</f>
        <v>0</v>
      </c>
      <c r="G31" s="76"/>
      <c r="H31" s="76"/>
      <c r="I31" s="76"/>
      <c r="J31" s="76"/>
      <c r="K31" s="1"/>
    </row>
    <row r="34" spans="5:12">
      <c r="E34" s="61"/>
      <c r="F34" s="160"/>
      <c r="G34" s="8"/>
      <c r="K34" s="78" t="s">
        <v>134</v>
      </c>
      <c r="L34" s="88"/>
    </row>
    <row r="35" spans="5:12">
      <c r="E35" s="161" t="s">
        <v>131</v>
      </c>
      <c r="F35" s="162"/>
      <c r="G35" s="8"/>
      <c r="H35" s="61"/>
      <c r="I35" s="61"/>
      <c r="J35" s="61"/>
      <c r="K35" s="78"/>
      <c r="L35" s="88"/>
    </row>
    <row r="36" spans="5:12">
      <c r="E36" s="161"/>
      <c r="F36" s="162"/>
      <c r="G36" s="61"/>
      <c r="H36" s="61"/>
      <c r="I36" s="61"/>
      <c r="J36" s="61"/>
      <c r="K36" s="83" t="s">
        <v>34</v>
      </c>
      <c r="L36" s="88">
        <f>L16</f>
        <v>0</v>
      </c>
    </row>
    <row r="37" spans="5:12">
      <c r="E37" s="61" t="s">
        <v>34</v>
      </c>
      <c r="F37" s="162">
        <f>F17</f>
        <v>803185.34999999986</v>
      </c>
      <c r="G37" s="61"/>
      <c r="H37" s="61"/>
      <c r="I37" s="61"/>
      <c r="J37" s="61"/>
      <c r="K37" s="83" t="s">
        <v>35</v>
      </c>
      <c r="L37" s="88">
        <f>+L30</f>
        <v>0</v>
      </c>
    </row>
    <row r="38" spans="5:12" s="61" customFormat="1" ht="15" customHeight="1">
      <c r="E38" s="61" t="s">
        <v>35</v>
      </c>
      <c r="F38" s="162">
        <f>+F31</f>
        <v>0</v>
      </c>
      <c r="H38" s="98"/>
      <c r="J38" s="105"/>
      <c r="K38" s="83" t="s">
        <v>36</v>
      </c>
      <c r="L38" s="88">
        <v>0</v>
      </c>
    </row>
    <row r="39" spans="5:12" s="61" customFormat="1" ht="15" customHeight="1">
      <c r="E39" s="61" t="s">
        <v>36</v>
      </c>
      <c r="F39" s="162">
        <v>495000</v>
      </c>
      <c r="G39" s="88"/>
      <c r="H39" s="98"/>
      <c r="I39" s="98"/>
      <c r="K39" s="83" t="s">
        <v>37</v>
      </c>
      <c r="L39" s="88">
        <v>0</v>
      </c>
    </row>
    <row r="40" spans="5:12" s="61" customFormat="1" ht="15" customHeight="1">
      <c r="E40" s="61" t="s">
        <v>37</v>
      </c>
      <c r="F40" s="162">
        <v>0</v>
      </c>
      <c r="G40" s="88">
        <v>480000</v>
      </c>
      <c r="H40" s="98"/>
      <c r="I40" s="98"/>
      <c r="K40" s="85" t="s">
        <v>38</v>
      </c>
      <c r="L40" s="92">
        <f>SUM(L36:L39)</f>
        <v>0</v>
      </c>
    </row>
    <row r="41" spans="5:12" s="61" customFormat="1" ht="15" customHeight="1">
      <c r="E41" s="163" t="s">
        <v>38</v>
      </c>
      <c r="F41" s="164">
        <f>SUM(F37:F40)</f>
        <v>1298185.3499999999</v>
      </c>
      <c r="G41" s="88"/>
      <c r="H41" s="81"/>
      <c r="I41" s="8"/>
      <c r="J41" s="9"/>
      <c r="K41" s="87"/>
      <c r="L41" s="93"/>
    </row>
    <row r="42" spans="5:12" s="61" customFormat="1" ht="15" customHeight="1">
      <c r="E42" s="165"/>
      <c r="F42" s="166"/>
      <c r="G42" s="88"/>
      <c r="H42" s="81"/>
      <c r="I42" s="8"/>
      <c r="J42" s="9"/>
      <c r="K42" s="89" t="s">
        <v>135</v>
      </c>
      <c r="L42" s="93">
        <v>85000</v>
      </c>
    </row>
    <row r="43" spans="5:12" s="61" customFormat="1" ht="15" customHeight="1">
      <c r="E43" s="167" t="s">
        <v>133</v>
      </c>
      <c r="F43" s="166">
        <v>85000</v>
      </c>
      <c r="G43" s="13"/>
      <c r="H43" s="81"/>
      <c r="I43" s="8"/>
      <c r="J43" s="9"/>
      <c r="K43" s="87" t="s">
        <v>137</v>
      </c>
      <c r="L43" s="39">
        <v>1500000</v>
      </c>
    </row>
    <row r="44" spans="5:12" s="61" customFormat="1" ht="15" customHeight="1">
      <c r="E44" s="167" t="s">
        <v>81</v>
      </c>
      <c r="F44" s="166">
        <v>1516953</v>
      </c>
      <c r="G44" s="13">
        <v>357594</v>
      </c>
      <c r="H44" s="81"/>
      <c r="I44" s="8"/>
      <c r="J44" s="9"/>
      <c r="K44" s="89" t="s">
        <v>138</v>
      </c>
      <c r="L44" s="93">
        <v>80000</v>
      </c>
    </row>
    <row r="45" spans="5:12" s="61" customFormat="1" ht="15" customHeight="1">
      <c r="E45" s="168" t="s">
        <v>24</v>
      </c>
      <c r="F45" s="169">
        <f>15000+65000</f>
        <v>80000</v>
      </c>
      <c r="H45" s="80"/>
      <c r="I45" s="8"/>
      <c r="J45" s="8"/>
      <c r="K45" s="89" t="s">
        <v>139</v>
      </c>
      <c r="L45" s="93">
        <v>75000</v>
      </c>
    </row>
    <row r="46" spans="5:12" s="61" customFormat="1" ht="15" customHeight="1">
      <c r="E46" s="168" t="s">
        <v>39</v>
      </c>
      <c r="F46" s="169">
        <v>2000</v>
      </c>
      <c r="H46" s="82"/>
      <c r="I46" s="8"/>
      <c r="J46" s="8"/>
      <c r="K46" s="89" t="s">
        <v>105</v>
      </c>
      <c r="L46" s="93">
        <v>50000</v>
      </c>
    </row>
    <row r="47" spans="5:12" s="61" customFormat="1" ht="15" customHeight="1">
      <c r="E47" s="168" t="s">
        <v>22</v>
      </c>
      <c r="F47" s="169">
        <v>40000</v>
      </c>
      <c r="H47" s="82"/>
      <c r="I47" s="8"/>
      <c r="J47" s="8"/>
      <c r="K47" s="91" t="s">
        <v>24</v>
      </c>
      <c r="L47" s="95">
        <f>65000+15000+100000</f>
        <v>180000</v>
      </c>
    </row>
    <row r="48" spans="5:12" s="61" customFormat="1" ht="15" customHeight="1">
      <c r="E48" s="168" t="s">
        <v>40</v>
      </c>
      <c r="F48" s="166">
        <f>100000-40000</f>
        <v>60000</v>
      </c>
      <c r="H48" s="82"/>
      <c r="I48" s="8"/>
      <c r="J48" s="8"/>
      <c r="K48" s="91" t="s">
        <v>39</v>
      </c>
      <c r="L48" s="95">
        <v>2000</v>
      </c>
    </row>
    <row r="49" spans="5:12" s="61" customFormat="1" ht="15" customHeight="1">
      <c r="E49" s="168" t="s">
        <v>117</v>
      </c>
      <c r="F49" s="166">
        <v>0</v>
      </c>
      <c r="G49" s="166">
        <v>134250.92000000001</v>
      </c>
      <c r="H49" s="82"/>
      <c r="I49" s="8"/>
      <c r="J49" s="8"/>
      <c r="K49" s="91" t="s">
        <v>22</v>
      </c>
      <c r="L49" s="95">
        <v>45000</v>
      </c>
    </row>
    <row r="50" spans="5:12" s="61" customFormat="1" ht="15" customHeight="1">
      <c r="E50" s="170" t="s">
        <v>41</v>
      </c>
      <c r="F50" s="171">
        <f>SUM(F43:F49)</f>
        <v>1783953</v>
      </c>
      <c r="H50" s="82"/>
      <c r="I50" s="8"/>
      <c r="J50" s="8"/>
      <c r="K50" s="91" t="s">
        <v>69</v>
      </c>
      <c r="L50" s="95">
        <v>60000</v>
      </c>
    </row>
    <row r="51" spans="5:12" s="61" customFormat="1" ht="15" customHeight="1">
      <c r="E51" s="170" t="s">
        <v>42</v>
      </c>
      <c r="F51" s="171">
        <f>F41-F50</f>
        <v>-485767.65000000014</v>
      </c>
      <c r="H51" s="82"/>
      <c r="I51" s="8"/>
      <c r="J51" s="8"/>
      <c r="K51" s="91" t="s">
        <v>40</v>
      </c>
      <c r="L51" s="93">
        <v>150000</v>
      </c>
    </row>
    <row r="52" spans="5:12" s="61" customFormat="1">
      <c r="F52" s="160"/>
      <c r="H52" s="82"/>
      <c r="I52" s="8"/>
      <c r="J52" s="8"/>
      <c r="K52" s="91" t="s">
        <v>136</v>
      </c>
      <c r="L52" s="93">
        <v>700576.31191780814</v>
      </c>
    </row>
    <row r="53" spans="5:12" s="61" customFormat="1">
      <c r="E53" s="61" t="s">
        <v>43</v>
      </c>
      <c r="F53" s="160">
        <f>43800+180000</f>
        <v>223800</v>
      </c>
      <c r="H53" s="82"/>
      <c r="I53" s="8"/>
      <c r="J53" s="8"/>
      <c r="K53" s="96" t="s">
        <v>41</v>
      </c>
      <c r="L53" s="97">
        <f>SUM(L42:L51)</f>
        <v>2227000</v>
      </c>
    </row>
    <row r="54" spans="5:12" s="61" customFormat="1">
      <c r="E54" s="61" t="s">
        <v>44</v>
      </c>
      <c r="F54" s="160">
        <v>430000</v>
      </c>
      <c r="H54" s="82"/>
      <c r="I54" s="8"/>
      <c r="J54" s="8"/>
      <c r="K54" s="96" t="s">
        <v>42</v>
      </c>
      <c r="L54" s="97">
        <f>L40-L53</f>
        <v>-2227000</v>
      </c>
    </row>
    <row r="55" spans="5:12" s="61" customFormat="1">
      <c r="E55" s="61" t="s">
        <v>91</v>
      </c>
      <c r="F55" s="169">
        <v>0</v>
      </c>
      <c r="H55" s="82"/>
      <c r="I55" s="8"/>
      <c r="J55" s="8"/>
      <c r="K55" s="83"/>
      <c r="L55" s="151"/>
    </row>
    <row r="56" spans="5:12" s="61" customFormat="1">
      <c r="E56" s="170" t="s">
        <v>46</v>
      </c>
      <c r="F56" s="172">
        <f>SUM(F53:F55)</f>
        <v>653800</v>
      </c>
      <c r="H56" s="82"/>
      <c r="I56" s="8"/>
      <c r="J56" s="8"/>
      <c r="K56" s="83" t="s">
        <v>43</v>
      </c>
      <c r="L56" s="151">
        <f>43800+180000</f>
        <v>223800</v>
      </c>
    </row>
    <row r="57" spans="5:12" s="61" customFormat="1">
      <c r="F57" s="160"/>
      <c r="H57" s="82"/>
      <c r="I57" s="8"/>
      <c r="J57" s="8"/>
      <c r="K57" s="83" t="s">
        <v>44</v>
      </c>
      <c r="L57" s="151">
        <f>100000+350000</f>
        <v>450000</v>
      </c>
    </row>
    <row r="58" spans="5:12" s="61" customFormat="1">
      <c r="E58" s="170" t="s">
        <v>47</v>
      </c>
      <c r="F58" s="172">
        <f>F51-F56</f>
        <v>-1139567.6500000001</v>
      </c>
      <c r="G58" s="8"/>
      <c r="H58" s="82"/>
      <c r="I58" s="8"/>
      <c r="J58" s="8"/>
      <c r="K58" s="83" t="s">
        <v>91</v>
      </c>
      <c r="L58" s="95">
        <v>0</v>
      </c>
    </row>
    <row r="59" spans="5:12" s="61" customFormat="1">
      <c r="F59" s="160"/>
      <c r="G59" s="8"/>
      <c r="H59" s="82"/>
      <c r="I59" s="8"/>
      <c r="J59" s="8"/>
      <c r="K59" s="96" t="s">
        <v>46</v>
      </c>
      <c r="L59" s="99">
        <f>SUM(L56:L58)</f>
        <v>673800</v>
      </c>
    </row>
    <row r="60" spans="5:12" s="61" customFormat="1">
      <c r="F60" s="160"/>
      <c r="G60" s="82"/>
      <c r="H60" s="82"/>
      <c r="I60" s="8"/>
      <c r="J60" s="8"/>
      <c r="K60" s="83"/>
      <c r="L60" s="151"/>
    </row>
    <row r="61" spans="5:12" s="61" customFormat="1">
      <c r="F61" s="39"/>
      <c r="G61" s="82"/>
      <c r="H61" s="82"/>
      <c r="I61" s="8"/>
      <c r="J61" s="8"/>
      <c r="K61" s="96" t="s">
        <v>47</v>
      </c>
      <c r="L61" s="99">
        <f>L54-L59</f>
        <v>-2900800</v>
      </c>
    </row>
  </sheetData>
  <mergeCells count="22"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  <mergeCell ref="B29:D29"/>
    <mergeCell ref="B30:D30"/>
    <mergeCell ref="B31:D31"/>
    <mergeCell ref="G24:K24"/>
    <mergeCell ref="B25:D25"/>
    <mergeCell ref="B26:D26"/>
    <mergeCell ref="G26:H26"/>
    <mergeCell ref="B27:D27"/>
    <mergeCell ref="B28:D28"/>
  </mergeCells>
  <pageMargins left="0.7" right="0.7" top="0.75" bottom="0.75" header="0.3" footer="0.3"/>
  <drawing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14DD7-5787-4535-ACE0-17C361BC36C4}">
  <dimension ref="B6:P61"/>
  <sheetViews>
    <sheetView showGridLines="0" topLeftCell="A13" workbookViewId="0">
      <selection activeCell="A13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4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9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200696.31</v>
      </c>
      <c r="F14" s="149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141534.63</v>
      </c>
      <c r="F15" s="150">
        <f>E15+E16+E17</f>
        <v>200696.31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21822.47</v>
      </c>
      <c r="F16" s="150">
        <v>90000</v>
      </c>
      <c r="G16" s="22">
        <v>9639.39</v>
      </c>
      <c r="H16" s="23" t="s">
        <v>8</v>
      </c>
      <c r="I16" s="24"/>
      <c r="J16" s="25">
        <v>10464.17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37339.21</v>
      </c>
      <c r="F17" s="150">
        <f>F15-F16</f>
        <v>110696.31</v>
      </c>
      <c r="G17" s="22">
        <v>12814.11</v>
      </c>
      <c r="H17" s="29" t="s">
        <v>10</v>
      </c>
      <c r="I17" s="30"/>
      <c r="J17" s="25">
        <v>77142.5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5772.12</v>
      </c>
      <c r="F18" s="150"/>
      <c r="G18" s="22">
        <v>14885.71</v>
      </c>
      <c r="H18" s="29" t="s">
        <v>12</v>
      </c>
      <c r="I18" s="30"/>
      <c r="J18" s="25">
        <v>11009.04</v>
      </c>
      <c r="K18" s="31" t="s">
        <v>12</v>
      </c>
    </row>
    <row r="19" spans="2:11">
      <c r="B19" s="344" t="s">
        <v>13</v>
      </c>
      <c r="C19" s="345"/>
      <c r="D19" s="346"/>
      <c r="E19" s="20">
        <v>14638568.810000001</v>
      </c>
      <c r="F19" s="150"/>
      <c r="G19" s="33"/>
      <c r="H19" s="34"/>
      <c r="I19" s="30"/>
      <c r="J19" s="25">
        <v>42918.92</v>
      </c>
      <c r="K19" s="31" t="s">
        <v>14</v>
      </c>
    </row>
    <row r="20" spans="2:11">
      <c r="B20" s="358" t="s">
        <v>15</v>
      </c>
      <c r="C20" s="359"/>
      <c r="D20" s="360"/>
      <c r="E20" s="35">
        <f>SUM(E21:E22)</f>
        <v>0</v>
      </c>
      <c r="F20" s="159">
        <f>SUM(E23:E30)</f>
        <v>364343.75</v>
      </c>
      <c r="G20" s="361" t="s">
        <v>16</v>
      </c>
      <c r="H20" s="362"/>
      <c r="I20" s="36"/>
      <c r="J20" s="37"/>
      <c r="K20" s="38"/>
    </row>
    <row r="21" spans="2:11">
      <c r="B21" s="40"/>
      <c r="C21" s="41"/>
      <c r="D21" s="122"/>
      <c r="E21" s="43">
        <v>0</v>
      </c>
      <c r="F21" s="149">
        <f>+F17-F20</f>
        <v>-253647.44</v>
      </c>
      <c r="G21" s="44">
        <v>11973.12</v>
      </c>
      <c r="H21" s="29" t="s">
        <v>10</v>
      </c>
      <c r="I21" s="30"/>
      <c r="J21" s="37"/>
      <c r="K21" s="45"/>
    </row>
    <row r="22" spans="2:11">
      <c r="B22" s="40"/>
      <c r="C22" s="41"/>
      <c r="D22" s="122"/>
      <c r="E22" s="43">
        <v>0</v>
      </c>
      <c r="F22" s="149"/>
      <c r="G22" s="44">
        <v>9849.35</v>
      </c>
      <c r="H22" s="29" t="s">
        <v>18</v>
      </c>
      <c r="I22" s="30"/>
      <c r="J22" s="50"/>
      <c r="K22" s="38"/>
    </row>
    <row r="23" spans="2:11" ht="15" thickBot="1">
      <c r="B23" s="46" t="s">
        <v>17</v>
      </c>
      <c r="C23" s="47"/>
      <c r="D23" s="48"/>
      <c r="E23" s="49">
        <v>6749.75</v>
      </c>
      <c r="F23" s="39"/>
      <c r="G23" s="51"/>
      <c r="H23" s="34"/>
      <c r="I23" s="30"/>
      <c r="J23" s="52"/>
      <c r="K23" s="53"/>
    </row>
    <row r="24" spans="2:11" ht="15" thickBot="1">
      <c r="B24" s="366" t="s">
        <v>77</v>
      </c>
      <c r="C24" s="367"/>
      <c r="D24" s="368"/>
      <c r="E24" s="49">
        <v>0</v>
      </c>
      <c r="F24" s="39"/>
      <c r="G24" s="331" t="s">
        <v>21</v>
      </c>
      <c r="H24" s="332"/>
      <c r="I24" s="332"/>
      <c r="J24" s="332"/>
      <c r="K24" s="333"/>
    </row>
    <row r="25" spans="2:11">
      <c r="B25" s="344" t="s">
        <v>78</v>
      </c>
      <c r="C25" s="345"/>
      <c r="D25" s="346"/>
      <c r="E25" s="49">
        <v>0</v>
      </c>
      <c r="F25" s="39"/>
      <c r="G25" s="54"/>
      <c r="H25" s="55"/>
      <c r="I25" s="56"/>
      <c r="J25" s="57"/>
      <c r="K25" s="58"/>
    </row>
    <row r="26" spans="2:11">
      <c r="B26" s="344" t="s">
        <v>81</v>
      </c>
      <c r="C26" s="345"/>
      <c r="D26" s="346"/>
      <c r="E26" s="49">
        <v>357594</v>
      </c>
      <c r="F26" s="149">
        <v>0</v>
      </c>
      <c r="G26" s="347" t="s">
        <v>5</v>
      </c>
      <c r="H26" s="348"/>
      <c r="I26" s="59"/>
      <c r="J26" s="60"/>
      <c r="K26" s="45"/>
    </row>
    <row r="27" spans="2:11">
      <c r="B27" s="344" t="s">
        <v>22</v>
      </c>
      <c r="C27" s="345"/>
      <c r="D27" s="346"/>
      <c r="E27" s="49">
        <v>0</v>
      </c>
      <c r="F27" s="149">
        <v>0</v>
      </c>
      <c r="G27" s="22">
        <f>11644.31-11500</f>
        <v>144.30999999999949</v>
      </c>
      <c r="H27" s="62" t="s">
        <v>9</v>
      </c>
      <c r="I27" s="59"/>
      <c r="J27" s="60"/>
      <c r="K27" s="45"/>
    </row>
    <row r="28" spans="2:11">
      <c r="B28" s="344" t="s">
        <v>24</v>
      </c>
      <c r="C28" s="345"/>
      <c r="D28" s="346"/>
      <c r="E28" s="49">
        <v>0</v>
      </c>
      <c r="F28" s="149">
        <v>0</v>
      </c>
      <c r="G28" s="22">
        <v>2088.69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344" t="s">
        <v>25</v>
      </c>
      <c r="C29" s="345"/>
      <c r="D29" s="346"/>
      <c r="E29" s="49">
        <v>0</v>
      </c>
      <c r="F29" s="149">
        <v>0</v>
      </c>
      <c r="G29" s="67">
        <v>1337.36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63" t="s">
        <v>29</v>
      </c>
      <c r="C30" s="364"/>
      <c r="D30" s="365"/>
      <c r="E30" s="66">
        <v>0</v>
      </c>
      <c r="F30" s="39">
        <f>SUM(F26:F29)</f>
        <v>0</v>
      </c>
      <c r="G30" s="71">
        <v>2201.7600000000002</v>
      </c>
      <c r="H30" s="72" t="s">
        <v>12</v>
      </c>
      <c r="I30" s="73"/>
      <c r="J30" s="74" t="s">
        <v>32</v>
      </c>
      <c r="K30" s="75" t="s">
        <v>33</v>
      </c>
    </row>
    <row r="34" spans="5:12">
      <c r="E34" s="161" t="s">
        <v>131</v>
      </c>
      <c r="F34" s="162"/>
      <c r="G34" s="8"/>
      <c r="K34" s="110" t="s">
        <v>134</v>
      </c>
      <c r="L34" s="86"/>
    </row>
    <row r="35" spans="5:12">
      <c r="E35" s="161"/>
      <c r="F35" s="162"/>
      <c r="G35" s="8"/>
      <c r="H35" s="61"/>
      <c r="I35" s="61"/>
      <c r="J35" s="61"/>
      <c r="K35" s="110"/>
      <c r="L35" s="86"/>
    </row>
    <row r="36" spans="5:12">
      <c r="E36" s="61" t="s">
        <v>34</v>
      </c>
      <c r="F36" s="162">
        <f>F17</f>
        <v>110696.31</v>
      </c>
      <c r="G36" s="8"/>
      <c r="H36" s="61"/>
      <c r="I36" s="61"/>
      <c r="J36" s="61"/>
      <c r="K36" s="82" t="s">
        <v>34</v>
      </c>
      <c r="L36" s="86">
        <f>L16</f>
        <v>0</v>
      </c>
    </row>
    <row r="37" spans="5:12">
      <c r="E37" s="61" t="s">
        <v>35</v>
      </c>
      <c r="F37" s="162">
        <f>+F30</f>
        <v>0</v>
      </c>
      <c r="G37" s="8"/>
      <c r="H37" s="61"/>
      <c r="I37" s="61"/>
      <c r="J37" s="61"/>
      <c r="K37" s="82" t="s">
        <v>35</v>
      </c>
      <c r="L37" s="86">
        <f>+L30</f>
        <v>0</v>
      </c>
    </row>
    <row r="38" spans="5:12" s="61" customFormat="1" ht="15" customHeight="1">
      <c r="E38" s="61" t="s">
        <v>36</v>
      </c>
      <c r="F38" s="162">
        <v>0</v>
      </c>
      <c r="G38" s="86"/>
      <c r="H38" s="98"/>
      <c r="J38" s="105"/>
      <c r="K38" s="82" t="s">
        <v>36</v>
      </c>
      <c r="L38" s="86">
        <v>0</v>
      </c>
    </row>
    <row r="39" spans="5:12" s="61" customFormat="1" ht="15" customHeight="1">
      <c r="E39" s="61" t="s">
        <v>37</v>
      </c>
      <c r="F39" s="162">
        <v>0</v>
      </c>
      <c r="G39" s="86">
        <v>480000</v>
      </c>
      <c r="H39" s="98"/>
      <c r="I39" s="98"/>
      <c r="K39" s="82" t="s">
        <v>37</v>
      </c>
      <c r="L39" s="86">
        <v>0</v>
      </c>
    </row>
    <row r="40" spans="5:12" s="61" customFormat="1" ht="15" customHeight="1">
      <c r="E40" s="163" t="s">
        <v>38</v>
      </c>
      <c r="F40" s="164">
        <f>SUM(F36:F39)</f>
        <v>110696.31</v>
      </c>
      <c r="G40" s="86"/>
      <c r="H40" s="98"/>
      <c r="I40" s="98"/>
      <c r="K40" s="112" t="s">
        <v>38</v>
      </c>
      <c r="L40" s="111">
        <f>SUM(L36:L39)</f>
        <v>0</v>
      </c>
    </row>
    <row r="41" spans="5:12" s="61" customFormat="1" ht="15" customHeight="1">
      <c r="E41" s="165"/>
      <c r="F41" s="166"/>
      <c r="G41" s="86"/>
      <c r="H41" s="81"/>
      <c r="I41" s="8"/>
      <c r="J41" s="9"/>
      <c r="K41" s="113"/>
      <c r="L41" s="94"/>
    </row>
    <row r="42" spans="5:12" s="61" customFormat="1" ht="15" customHeight="1">
      <c r="E42" s="167" t="s">
        <v>133</v>
      </c>
      <c r="F42" s="166">
        <v>85000</v>
      </c>
      <c r="G42" s="9"/>
      <c r="H42" s="81"/>
      <c r="I42" s="8"/>
      <c r="J42" s="9"/>
      <c r="K42" s="114" t="s">
        <v>135</v>
      </c>
      <c r="L42" s="94">
        <v>85000</v>
      </c>
    </row>
    <row r="43" spans="5:12" s="61" customFormat="1" ht="15" customHeight="1">
      <c r="E43" s="167" t="s">
        <v>81</v>
      </c>
      <c r="F43" s="166">
        <v>357594</v>
      </c>
      <c r="G43" s="9"/>
      <c r="H43" s="81"/>
      <c r="I43" s="8"/>
      <c r="J43" s="9"/>
      <c r="K43" s="113" t="s">
        <v>137</v>
      </c>
      <c r="L43" s="154">
        <v>1500000</v>
      </c>
    </row>
    <row r="44" spans="5:12" s="61" customFormat="1" ht="15" customHeight="1">
      <c r="E44" s="168" t="s">
        <v>24</v>
      </c>
      <c r="F44" s="169">
        <v>0</v>
      </c>
      <c r="G44" s="8"/>
      <c r="H44" s="81"/>
      <c r="I44" s="8"/>
      <c r="J44" s="9"/>
      <c r="K44" s="114" t="s">
        <v>138</v>
      </c>
      <c r="L44" s="94">
        <v>80000</v>
      </c>
    </row>
    <row r="45" spans="5:12" s="61" customFormat="1" ht="15" customHeight="1">
      <c r="E45" s="168" t="s">
        <v>39</v>
      </c>
      <c r="F45" s="169">
        <v>2000</v>
      </c>
      <c r="G45" s="8"/>
      <c r="H45" s="80"/>
      <c r="I45" s="8"/>
      <c r="J45" s="8"/>
      <c r="K45" s="114" t="s">
        <v>139</v>
      </c>
      <c r="L45" s="94">
        <v>75000</v>
      </c>
    </row>
    <row r="46" spans="5:12" s="61" customFormat="1" ht="15" customHeight="1">
      <c r="E46" s="168" t="s">
        <v>22</v>
      </c>
      <c r="F46" s="169">
        <f>40000-23000</f>
        <v>17000</v>
      </c>
      <c r="G46" s="8"/>
      <c r="H46" s="82"/>
      <c r="I46" s="8"/>
      <c r="J46" s="8"/>
      <c r="K46" s="114" t="s">
        <v>105</v>
      </c>
      <c r="L46" s="94">
        <v>50000</v>
      </c>
    </row>
    <row r="47" spans="5:12" s="61" customFormat="1" ht="15" customHeight="1">
      <c r="E47" s="168" t="s">
        <v>40</v>
      </c>
      <c r="F47" s="166">
        <f>100000-40000</f>
        <v>60000</v>
      </c>
      <c r="G47" s="8"/>
      <c r="H47" s="82"/>
      <c r="I47" s="8"/>
      <c r="J47" s="8"/>
      <c r="K47" s="116" t="s">
        <v>24</v>
      </c>
      <c r="L47" s="117">
        <f>65000+15000+100000</f>
        <v>180000</v>
      </c>
    </row>
    <row r="48" spans="5:12" s="61" customFormat="1" ht="15" customHeight="1">
      <c r="E48" s="168" t="s">
        <v>117</v>
      </c>
      <c r="F48" s="166">
        <v>0</v>
      </c>
      <c r="G48" s="174">
        <v>134250.92000000001</v>
      </c>
      <c r="H48" s="82"/>
      <c r="I48" s="8"/>
      <c r="J48" s="8"/>
      <c r="K48" s="116" t="s">
        <v>39</v>
      </c>
      <c r="L48" s="117">
        <v>2000</v>
      </c>
    </row>
    <row r="49" spans="5:12" s="61" customFormat="1" ht="15" customHeight="1">
      <c r="E49" s="170" t="s">
        <v>41</v>
      </c>
      <c r="F49" s="171">
        <f>SUM(F42:F48)</f>
        <v>521594</v>
      </c>
      <c r="G49" s="8"/>
      <c r="H49" s="82"/>
      <c r="I49" s="8"/>
      <c r="J49" s="8"/>
      <c r="K49" s="116" t="s">
        <v>22</v>
      </c>
      <c r="L49" s="117">
        <v>45000</v>
      </c>
    </row>
    <row r="50" spans="5:12" s="61" customFormat="1" ht="15" customHeight="1">
      <c r="E50" s="170" t="s">
        <v>42</v>
      </c>
      <c r="F50" s="171">
        <f>F40-F49</f>
        <v>-410897.69</v>
      </c>
      <c r="G50" s="8"/>
      <c r="H50" s="82"/>
      <c r="I50" s="8"/>
      <c r="J50" s="8"/>
      <c r="K50" s="116" t="s">
        <v>69</v>
      </c>
      <c r="L50" s="117">
        <v>60000</v>
      </c>
    </row>
    <row r="51" spans="5:12" s="61" customFormat="1" ht="15" customHeight="1">
      <c r="F51" s="160"/>
      <c r="G51" s="8"/>
      <c r="H51" s="82"/>
      <c r="I51" s="8"/>
      <c r="J51" s="8"/>
      <c r="K51" s="116" t="s">
        <v>40</v>
      </c>
      <c r="L51" s="94">
        <v>150000</v>
      </c>
    </row>
    <row r="52" spans="5:12" s="61" customFormat="1">
      <c r="E52" s="61" t="s">
        <v>43</v>
      </c>
      <c r="F52" s="160">
        <f>43800+180000</f>
        <v>223800</v>
      </c>
      <c r="G52" s="8"/>
      <c r="H52" s="82"/>
      <c r="I52" s="8"/>
      <c r="J52" s="8"/>
      <c r="K52" s="116" t="s">
        <v>136</v>
      </c>
      <c r="L52" s="94">
        <v>700576.31191780814</v>
      </c>
    </row>
    <row r="53" spans="5:12" s="61" customFormat="1">
      <c r="E53" s="61" t="s">
        <v>44</v>
      </c>
      <c r="F53" s="160">
        <v>430000</v>
      </c>
      <c r="G53" s="8"/>
      <c r="H53" s="82"/>
      <c r="I53" s="8"/>
      <c r="J53" s="8"/>
      <c r="K53" s="118" t="s">
        <v>41</v>
      </c>
      <c r="L53" s="119">
        <f>SUM(L42:L51)</f>
        <v>2227000</v>
      </c>
    </row>
    <row r="54" spans="5:12" s="61" customFormat="1">
      <c r="E54" s="61" t="s">
        <v>91</v>
      </c>
      <c r="F54" s="169">
        <v>495314.74</v>
      </c>
      <c r="G54" s="8"/>
      <c r="H54" s="82"/>
      <c r="I54" s="8"/>
      <c r="J54" s="8"/>
      <c r="K54" s="118" t="s">
        <v>42</v>
      </c>
      <c r="L54" s="119">
        <f>L40-L53</f>
        <v>-2227000</v>
      </c>
    </row>
    <row r="55" spans="5:12" s="61" customFormat="1">
      <c r="E55" s="170" t="s">
        <v>46</v>
      </c>
      <c r="F55" s="172">
        <f>SUM(F52:F54)</f>
        <v>1149114.74</v>
      </c>
      <c r="G55" s="8"/>
      <c r="H55" s="82"/>
      <c r="I55" s="8"/>
      <c r="J55" s="8"/>
      <c r="K55" s="82"/>
      <c r="L55" s="80"/>
    </row>
    <row r="56" spans="5:12" s="61" customFormat="1">
      <c r="F56" s="160"/>
      <c r="G56" s="8"/>
      <c r="H56" s="82"/>
      <c r="I56" s="8"/>
      <c r="J56" s="8"/>
      <c r="K56" s="82" t="s">
        <v>43</v>
      </c>
      <c r="L56" s="80">
        <f>43800+180000</f>
        <v>223800</v>
      </c>
    </row>
    <row r="57" spans="5:12" s="61" customFormat="1">
      <c r="E57" s="170" t="s">
        <v>47</v>
      </c>
      <c r="F57" s="172">
        <f>F50-F55</f>
        <v>-1560012.43</v>
      </c>
      <c r="G57" s="8"/>
      <c r="H57" s="82"/>
      <c r="I57" s="8"/>
      <c r="J57" s="8"/>
      <c r="K57" s="82" t="s">
        <v>44</v>
      </c>
      <c r="L57" s="80">
        <f>100000+350000</f>
        <v>450000</v>
      </c>
    </row>
    <row r="58" spans="5:12" s="61" customFormat="1">
      <c r="F58" s="160"/>
      <c r="G58" s="8"/>
      <c r="H58" s="82"/>
      <c r="I58" s="8"/>
      <c r="J58" s="8"/>
      <c r="K58" s="82" t="s">
        <v>91</v>
      </c>
      <c r="L58" s="117">
        <v>0</v>
      </c>
    </row>
    <row r="59" spans="5:12" s="61" customFormat="1">
      <c r="F59" s="160"/>
      <c r="G59" s="82"/>
      <c r="H59" s="82"/>
      <c r="I59" s="8"/>
      <c r="J59" s="8"/>
      <c r="K59" s="118" t="s">
        <v>46</v>
      </c>
      <c r="L59" s="120">
        <f>SUM(L56:L58)</f>
        <v>673800</v>
      </c>
    </row>
    <row r="60" spans="5:12" s="61" customFormat="1">
      <c r="F60" s="39"/>
      <c r="G60" s="82"/>
      <c r="H60" s="82"/>
      <c r="I60" s="8"/>
      <c r="J60" s="8"/>
      <c r="K60" s="82"/>
      <c r="L60" s="80"/>
    </row>
    <row r="61" spans="5:12" s="61" customFormat="1">
      <c r="F61" s="39"/>
      <c r="G61" s="82"/>
      <c r="H61" s="82"/>
      <c r="I61" s="8"/>
      <c r="J61" s="8"/>
      <c r="K61" s="118" t="s">
        <v>47</v>
      </c>
      <c r="L61" s="120">
        <f>L54-L59</f>
        <v>-2900800</v>
      </c>
    </row>
  </sheetData>
  <mergeCells count="22">
    <mergeCell ref="B28:D28"/>
    <mergeCell ref="B29:D29"/>
    <mergeCell ref="B30:D30"/>
    <mergeCell ref="G24:K24"/>
    <mergeCell ref="B24:D24"/>
    <mergeCell ref="B25:D25"/>
    <mergeCell ref="G26:H26"/>
    <mergeCell ref="B26:D26"/>
    <mergeCell ref="B27:D27"/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</mergeCells>
  <pageMargins left="0.7" right="0.7" top="0.75" bottom="0.75" header="0.3" footer="0.3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C76A3-6CAE-4EE4-88DA-F6A29596A17F}">
  <dimension ref="B6:P61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4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9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213651.71999999997</v>
      </c>
      <c r="F14" s="149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154980.65999999997</v>
      </c>
      <c r="F15" s="153">
        <f>E15+E16+E17</f>
        <v>213651.71999999997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21822.47</v>
      </c>
      <c r="F16" s="153">
        <v>90000</v>
      </c>
      <c r="G16" s="22">
        <v>9639.39</v>
      </c>
      <c r="H16" s="23" t="s">
        <v>8</v>
      </c>
      <c r="I16" s="24"/>
      <c r="J16" s="25">
        <v>5444.17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36848.589999999997</v>
      </c>
      <c r="F17" s="153">
        <f>F15-F16</f>
        <v>123651.71999999997</v>
      </c>
      <c r="G17" s="22">
        <v>12323.49</v>
      </c>
      <c r="H17" s="29" t="s">
        <v>10</v>
      </c>
      <c r="I17" s="30"/>
      <c r="J17" s="25">
        <v>97906.68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5775.8600000000006</v>
      </c>
      <c r="F18" s="153"/>
      <c r="G18" s="22">
        <v>14885.71</v>
      </c>
      <c r="H18" s="29" t="s">
        <v>12</v>
      </c>
      <c r="I18" s="30"/>
      <c r="J18" s="25">
        <v>11009.04</v>
      </c>
      <c r="K18" s="31" t="s">
        <v>12</v>
      </c>
    </row>
    <row r="19" spans="2:11">
      <c r="B19" s="344" t="s">
        <v>13</v>
      </c>
      <c r="C19" s="345"/>
      <c r="D19" s="346"/>
      <c r="E19" s="20">
        <v>14716286.07</v>
      </c>
      <c r="F19" s="153"/>
      <c r="G19" s="33"/>
      <c r="H19" s="34"/>
      <c r="I19" s="30"/>
      <c r="J19" s="25">
        <v>40620.769999999997</v>
      </c>
      <c r="K19" s="31" t="s">
        <v>14</v>
      </c>
    </row>
    <row r="20" spans="2:11">
      <c r="B20" s="358" t="s">
        <v>15</v>
      </c>
      <c r="C20" s="359"/>
      <c r="D20" s="360"/>
      <c r="E20" s="35">
        <f>SUM(E21:E22)</f>
        <v>28190.18</v>
      </c>
      <c r="F20" s="158">
        <f>SUM(E23:E30)</f>
        <v>442594</v>
      </c>
      <c r="G20" s="361" t="s">
        <v>16</v>
      </c>
      <c r="H20" s="362"/>
      <c r="I20" s="36"/>
      <c r="J20" s="37"/>
      <c r="K20" s="38"/>
    </row>
    <row r="21" spans="2:11">
      <c r="B21" s="40"/>
      <c r="C21" s="41"/>
      <c r="D21" s="122" t="s">
        <v>141</v>
      </c>
      <c r="E21" s="43">
        <v>28190.18</v>
      </c>
      <c r="F21" s="148">
        <f>+F17-F20</f>
        <v>-318942.28000000003</v>
      </c>
      <c r="G21" s="44">
        <v>11973.12</v>
      </c>
      <c r="H21" s="29" t="s">
        <v>10</v>
      </c>
      <c r="I21" s="30"/>
      <c r="J21" s="37"/>
      <c r="K21" s="45"/>
    </row>
    <row r="22" spans="2:11">
      <c r="B22" s="40"/>
      <c r="C22" s="41"/>
      <c r="D22" s="122"/>
      <c r="E22" s="43">
        <v>0</v>
      </c>
      <c r="F22" s="148"/>
      <c r="G22" s="44">
        <v>9849.35</v>
      </c>
      <c r="H22" s="29" t="s">
        <v>18</v>
      </c>
      <c r="I22" s="30"/>
      <c r="J22" s="50"/>
      <c r="K22" s="38"/>
    </row>
    <row r="23" spans="2:11" ht="15" thickBot="1">
      <c r="B23" s="46" t="s">
        <v>17</v>
      </c>
      <c r="C23" s="47"/>
      <c r="D23" s="48"/>
      <c r="E23" s="49">
        <v>0</v>
      </c>
      <c r="F23" s="154"/>
      <c r="G23" s="51"/>
      <c r="H23" s="34"/>
      <c r="I23" s="30"/>
      <c r="J23" s="52"/>
      <c r="K23" s="53"/>
    </row>
    <row r="24" spans="2:11" ht="15" thickBot="1">
      <c r="B24" s="366" t="s">
        <v>140</v>
      </c>
      <c r="C24" s="367"/>
      <c r="D24" s="368"/>
      <c r="E24" s="49">
        <v>85000</v>
      </c>
      <c r="F24" s="154"/>
      <c r="G24" s="331" t="s">
        <v>21</v>
      </c>
      <c r="H24" s="332"/>
      <c r="I24" s="332"/>
      <c r="J24" s="332"/>
      <c r="K24" s="333"/>
    </row>
    <row r="25" spans="2:11">
      <c r="B25" s="344" t="s">
        <v>78</v>
      </c>
      <c r="C25" s="345"/>
      <c r="D25" s="346"/>
      <c r="E25" s="49">
        <v>0</v>
      </c>
      <c r="F25" s="154"/>
      <c r="G25" s="54"/>
      <c r="H25" s="55"/>
      <c r="I25" s="56"/>
      <c r="J25" s="57"/>
      <c r="K25" s="58"/>
    </row>
    <row r="26" spans="2:11">
      <c r="B26" s="344" t="s">
        <v>81</v>
      </c>
      <c r="C26" s="345"/>
      <c r="D26" s="346"/>
      <c r="E26" s="49">
        <v>357594</v>
      </c>
      <c r="F26" s="148">
        <v>0</v>
      </c>
      <c r="G26" s="347" t="s">
        <v>5</v>
      </c>
      <c r="H26" s="348"/>
      <c r="I26" s="59"/>
      <c r="J26" s="60"/>
      <c r="K26" s="45"/>
    </row>
    <row r="27" spans="2:11">
      <c r="B27" s="344" t="s">
        <v>22</v>
      </c>
      <c r="C27" s="345"/>
      <c r="D27" s="346"/>
      <c r="E27" s="49">
        <v>0</v>
      </c>
      <c r="F27" s="148">
        <v>0</v>
      </c>
      <c r="G27" s="22">
        <f>11647.86-11500</f>
        <v>147.86000000000058</v>
      </c>
      <c r="H27" s="62" t="s">
        <v>9</v>
      </c>
      <c r="I27" s="59"/>
      <c r="J27" s="60"/>
      <c r="K27" s="45"/>
    </row>
    <row r="28" spans="2:11">
      <c r="B28" s="344" t="s">
        <v>24</v>
      </c>
      <c r="C28" s="345"/>
      <c r="D28" s="346"/>
      <c r="E28" s="49">
        <v>0</v>
      </c>
      <c r="F28" s="148">
        <v>0</v>
      </c>
      <c r="G28" s="22">
        <v>2088.88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344" t="s">
        <v>25</v>
      </c>
      <c r="C29" s="345"/>
      <c r="D29" s="346"/>
      <c r="E29" s="49">
        <v>0</v>
      </c>
      <c r="F29" s="148">
        <v>0</v>
      </c>
      <c r="G29" s="67">
        <v>1337.36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63" t="s">
        <v>29</v>
      </c>
      <c r="C30" s="364"/>
      <c r="D30" s="365"/>
      <c r="E30" s="66">
        <v>0</v>
      </c>
      <c r="F30" s="154">
        <f>SUM(F26:F29)</f>
        <v>0</v>
      </c>
      <c r="G30" s="71">
        <v>2201.7600000000002</v>
      </c>
      <c r="H30" s="72" t="s">
        <v>12</v>
      </c>
      <c r="I30" s="73"/>
      <c r="J30" s="74" t="s">
        <v>32</v>
      </c>
      <c r="K30" s="75" t="s">
        <v>33</v>
      </c>
    </row>
    <row r="34" spans="5:12">
      <c r="E34" s="181" t="s">
        <v>131</v>
      </c>
      <c r="F34" s="178"/>
      <c r="G34" s="8"/>
      <c r="K34" s="110" t="s">
        <v>134</v>
      </c>
      <c r="L34" s="86"/>
    </row>
    <row r="35" spans="5:12">
      <c r="E35" s="181"/>
      <c r="F35" s="178"/>
      <c r="G35" s="8"/>
      <c r="H35" s="61"/>
      <c r="I35" s="61"/>
      <c r="J35" s="61"/>
      <c r="K35" s="110"/>
      <c r="L35" s="86"/>
    </row>
    <row r="36" spans="5:12">
      <c r="E36" s="8" t="s">
        <v>34</v>
      </c>
      <c r="F36" s="178">
        <f>F17</f>
        <v>123651.71999999997</v>
      </c>
      <c r="G36" s="8"/>
      <c r="H36" s="61"/>
      <c r="I36" s="61"/>
      <c r="J36" s="61"/>
      <c r="K36" s="82" t="s">
        <v>34</v>
      </c>
      <c r="L36" s="86">
        <f>L16</f>
        <v>0</v>
      </c>
    </row>
    <row r="37" spans="5:12">
      <c r="E37" s="8" t="s">
        <v>35</v>
      </c>
      <c r="F37" s="178">
        <f>+F30</f>
        <v>0</v>
      </c>
      <c r="G37" s="8"/>
      <c r="H37" s="61"/>
      <c r="I37" s="61"/>
      <c r="J37" s="61"/>
      <c r="K37" s="82" t="s">
        <v>35</v>
      </c>
      <c r="L37" s="86">
        <f>+L30</f>
        <v>0</v>
      </c>
    </row>
    <row r="38" spans="5:12" s="61" customFormat="1" ht="15" customHeight="1">
      <c r="E38" s="8" t="s">
        <v>36</v>
      </c>
      <c r="F38" s="178">
        <v>0</v>
      </c>
      <c r="G38" s="86"/>
      <c r="H38" s="98"/>
      <c r="J38" s="105"/>
      <c r="K38" s="82" t="s">
        <v>36</v>
      </c>
      <c r="L38" s="86">
        <v>0</v>
      </c>
    </row>
    <row r="39" spans="5:12" s="61" customFormat="1" ht="15" customHeight="1">
      <c r="E39" s="8" t="s">
        <v>37</v>
      </c>
      <c r="F39" s="178">
        <v>0</v>
      </c>
      <c r="G39" s="86">
        <v>480000</v>
      </c>
      <c r="H39" s="98"/>
      <c r="I39" s="98"/>
      <c r="K39" s="82" t="s">
        <v>37</v>
      </c>
      <c r="L39" s="86">
        <v>0</v>
      </c>
    </row>
    <row r="40" spans="5:12" s="61" customFormat="1" ht="15" customHeight="1">
      <c r="E40" s="182" t="s">
        <v>38</v>
      </c>
      <c r="F40" s="179">
        <f>SUM(F36:F39)</f>
        <v>123651.71999999997</v>
      </c>
      <c r="G40" s="86"/>
      <c r="H40" s="98"/>
      <c r="I40" s="98"/>
      <c r="K40" s="112" t="s">
        <v>38</v>
      </c>
      <c r="L40" s="111">
        <f>SUM(L36:L39)</f>
        <v>0</v>
      </c>
    </row>
    <row r="41" spans="5:12" s="61" customFormat="1" ht="15" customHeight="1">
      <c r="E41" s="183"/>
      <c r="F41" s="174"/>
      <c r="G41" s="86"/>
      <c r="H41" s="81"/>
      <c r="I41" s="8"/>
      <c r="J41" s="9"/>
      <c r="K41" s="113"/>
      <c r="L41" s="94"/>
    </row>
    <row r="42" spans="5:12" s="61" customFormat="1" ht="15" customHeight="1">
      <c r="E42" s="184" t="s">
        <v>133</v>
      </c>
      <c r="F42" s="174">
        <v>85000</v>
      </c>
      <c r="G42" s="9"/>
      <c r="H42" s="81"/>
      <c r="I42" s="8"/>
      <c r="J42" s="9"/>
      <c r="K42" s="114" t="s">
        <v>135</v>
      </c>
      <c r="L42" s="94">
        <v>85000</v>
      </c>
    </row>
    <row r="43" spans="5:12" s="61" customFormat="1" ht="15" customHeight="1">
      <c r="E43" s="184" t="s">
        <v>81</v>
      </c>
      <c r="F43" s="174">
        <v>357594</v>
      </c>
      <c r="G43" s="9"/>
      <c r="H43" s="81"/>
      <c r="I43" s="8"/>
      <c r="J43" s="9"/>
      <c r="K43" s="113" t="s">
        <v>137</v>
      </c>
      <c r="L43" s="154">
        <v>1500000</v>
      </c>
    </row>
    <row r="44" spans="5:12" s="61" customFormat="1" ht="15" customHeight="1">
      <c r="E44" s="185" t="s">
        <v>24</v>
      </c>
      <c r="F44" s="175">
        <v>0</v>
      </c>
      <c r="G44" s="8"/>
      <c r="H44" s="81"/>
      <c r="I44" s="8"/>
      <c r="J44" s="9"/>
      <c r="K44" s="114" t="s">
        <v>138</v>
      </c>
      <c r="L44" s="94">
        <v>80000</v>
      </c>
    </row>
    <row r="45" spans="5:12" s="61" customFormat="1" ht="15" customHeight="1">
      <c r="E45" s="185" t="s">
        <v>39</v>
      </c>
      <c r="F45" s="175">
        <v>2000</v>
      </c>
      <c r="G45" s="8"/>
      <c r="H45" s="80"/>
      <c r="I45" s="8"/>
      <c r="J45" s="8"/>
      <c r="K45" s="114" t="s">
        <v>139</v>
      </c>
      <c r="L45" s="94">
        <v>75000</v>
      </c>
    </row>
    <row r="46" spans="5:12" s="61" customFormat="1" ht="15" customHeight="1">
      <c r="E46" s="185" t="s">
        <v>22</v>
      </c>
      <c r="F46" s="175">
        <f>40000-23000</f>
        <v>17000</v>
      </c>
      <c r="G46" s="8"/>
      <c r="H46" s="82"/>
      <c r="I46" s="8"/>
      <c r="J46" s="8"/>
      <c r="K46" s="114" t="s">
        <v>105</v>
      </c>
      <c r="L46" s="94">
        <v>50000</v>
      </c>
    </row>
    <row r="47" spans="5:12" s="61" customFormat="1" ht="15" customHeight="1">
      <c r="E47" s="185" t="s">
        <v>40</v>
      </c>
      <c r="F47" s="174">
        <f>100000-40000-10000</f>
        <v>50000</v>
      </c>
      <c r="G47" s="8"/>
      <c r="H47" s="82"/>
      <c r="I47" s="8"/>
      <c r="J47" s="8"/>
      <c r="K47" s="116" t="s">
        <v>24</v>
      </c>
      <c r="L47" s="117">
        <f>65000+15000+100000</f>
        <v>180000</v>
      </c>
    </row>
    <row r="48" spans="5:12" s="61" customFormat="1" ht="15" customHeight="1">
      <c r="E48" s="185" t="s">
        <v>117</v>
      </c>
      <c r="F48" s="174">
        <v>0</v>
      </c>
      <c r="G48" s="174">
        <v>134250.92000000001</v>
      </c>
      <c r="H48" s="82"/>
      <c r="I48" s="8"/>
      <c r="J48" s="8"/>
      <c r="K48" s="116" t="s">
        <v>39</v>
      </c>
      <c r="L48" s="117">
        <v>2000</v>
      </c>
    </row>
    <row r="49" spans="5:12" s="61" customFormat="1" ht="15" customHeight="1">
      <c r="E49" s="177" t="s">
        <v>41</v>
      </c>
      <c r="F49" s="180">
        <f>SUM(F42:F48)</f>
        <v>511594</v>
      </c>
      <c r="G49" s="8"/>
      <c r="H49" s="82"/>
      <c r="I49" s="8"/>
      <c r="J49" s="8"/>
      <c r="K49" s="116" t="s">
        <v>22</v>
      </c>
      <c r="L49" s="117">
        <v>45000</v>
      </c>
    </row>
    <row r="50" spans="5:12" s="61" customFormat="1" ht="15" customHeight="1">
      <c r="E50" s="177" t="s">
        <v>42</v>
      </c>
      <c r="F50" s="180">
        <f>F40-F49</f>
        <v>-387942.28</v>
      </c>
      <c r="G50" s="8"/>
      <c r="H50" s="82"/>
      <c r="I50" s="8"/>
      <c r="J50" s="8"/>
      <c r="K50" s="116" t="s">
        <v>69</v>
      </c>
      <c r="L50" s="117">
        <v>60000</v>
      </c>
    </row>
    <row r="51" spans="5:12" s="61" customFormat="1" ht="15" customHeight="1">
      <c r="E51" s="8"/>
      <c r="F51" s="173"/>
      <c r="G51" s="8"/>
      <c r="H51" s="82"/>
      <c r="I51" s="8"/>
      <c r="J51" s="8"/>
      <c r="K51" s="116" t="s">
        <v>40</v>
      </c>
      <c r="L51" s="94">
        <v>150000</v>
      </c>
    </row>
    <row r="52" spans="5:12" s="61" customFormat="1">
      <c r="E52" s="8" t="s">
        <v>43</v>
      </c>
      <c r="F52" s="173">
        <f>43800+180000</f>
        <v>223800</v>
      </c>
      <c r="G52" s="8"/>
      <c r="H52" s="82"/>
      <c r="I52" s="8"/>
      <c r="J52" s="8"/>
      <c r="K52" s="116" t="s">
        <v>136</v>
      </c>
      <c r="L52" s="94">
        <v>700576.31191780814</v>
      </c>
    </row>
    <row r="53" spans="5:12" s="61" customFormat="1">
      <c r="E53" s="8" t="s">
        <v>44</v>
      </c>
      <c r="F53" s="173">
        <v>430000</v>
      </c>
      <c r="G53" s="8"/>
      <c r="H53" s="82"/>
      <c r="I53" s="8"/>
      <c r="J53" s="8"/>
      <c r="K53" s="118" t="s">
        <v>41</v>
      </c>
      <c r="L53" s="119">
        <f>SUM(L42:L51)</f>
        <v>2227000</v>
      </c>
    </row>
    <row r="54" spans="5:12" s="61" customFormat="1">
      <c r="E54" s="8" t="s">
        <v>91</v>
      </c>
      <c r="F54" s="175">
        <v>495629.48</v>
      </c>
      <c r="G54" s="8"/>
      <c r="H54" s="82"/>
      <c r="I54" s="8"/>
      <c r="J54" s="8"/>
      <c r="K54" s="118" t="s">
        <v>42</v>
      </c>
      <c r="L54" s="119">
        <f>L40-L53</f>
        <v>-2227000</v>
      </c>
    </row>
    <row r="55" spans="5:12" s="61" customFormat="1">
      <c r="E55" s="177" t="s">
        <v>46</v>
      </c>
      <c r="F55" s="176">
        <f>SUM(F52:F54)</f>
        <v>1149429.48</v>
      </c>
      <c r="G55" s="8"/>
      <c r="H55" s="82"/>
      <c r="I55" s="8"/>
      <c r="J55" s="8"/>
      <c r="K55" s="82"/>
      <c r="L55" s="80"/>
    </row>
    <row r="56" spans="5:12" s="61" customFormat="1">
      <c r="E56" s="8"/>
      <c r="F56" s="173"/>
      <c r="G56" s="8"/>
      <c r="H56" s="82"/>
      <c r="I56" s="8"/>
      <c r="J56" s="8"/>
      <c r="K56" s="82" t="s">
        <v>43</v>
      </c>
      <c r="L56" s="80">
        <f>43800+180000</f>
        <v>223800</v>
      </c>
    </row>
    <row r="57" spans="5:12" s="61" customFormat="1">
      <c r="E57" s="177" t="s">
        <v>47</v>
      </c>
      <c r="F57" s="176">
        <f>F50-F55</f>
        <v>-1537371.76</v>
      </c>
      <c r="G57" s="8"/>
      <c r="H57" s="82"/>
      <c r="I57" s="8"/>
      <c r="J57" s="8"/>
      <c r="K57" s="82" t="s">
        <v>44</v>
      </c>
      <c r="L57" s="80">
        <f>100000+350000</f>
        <v>450000</v>
      </c>
    </row>
    <row r="58" spans="5:12" s="61" customFormat="1">
      <c r="F58" s="160"/>
      <c r="G58" s="8"/>
      <c r="H58" s="82"/>
      <c r="I58" s="8"/>
      <c r="J58" s="8"/>
      <c r="K58" s="82" t="s">
        <v>91</v>
      </c>
      <c r="L58" s="117">
        <v>0</v>
      </c>
    </row>
    <row r="59" spans="5:12" s="61" customFormat="1">
      <c r="F59" s="160"/>
      <c r="G59" s="82"/>
      <c r="H59" s="82"/>
      <c r="I59" s="8"/>
      <c r="J59" s="8"/>
      <c r="K59" s="118" t="s">
        <v>46</v>
      </c>
      <c r="L59" s="120">
        <f>SUM(L56:L58)</f>
        <v>673800</v>
      </c>
    </row>
    <row r="60" spans="5:12" s="61" customFormat="1">
      <c r="F60" s="39"/>
      <c r="G60" s="82"/>
      <c r="H60" s="82"/>
      <c r="I60" s="8"/>
      <c r="J60" s="8"/>
      <c r="K60" s="82"/>
      <c r="L60" s="80"/>
    </row>
    <row r="61" spans="5:12" s="61" customFormat="1">
      <c r="F61" s="39"/>
      <c r="G61" s="82"/>
      <c r="H61" s="82"/>
      <c r="I61" s="8"/>
      <c r="J61" s="8"/>
      <c r="K61" s="118" t="s">
        <v>47</v>
      </c>
      <c r="L61" s="120">
        <f>L54-L59</f>
        <v>-2900800</v>
      </c>
    </row>
  </sheetData>
  <mergeCells count="22"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  <mergeCell ref="B28:D28"/>
    <mergeCell ref="B29:D29"/>
    <mergeCell ref="B30:D30"/>
    <mergeCell ref="B24:D24"/>
    <mergeCell ref="G24:K24"/>
    <mergeCell ref="B25:D25"/>
    <mergeCell ref="B26:D26"/>
    <mergeCell ref="G26:H26"/>
    <mergeCell ref="B27:D27"/>
  </mergeCells>
  <pageMargins left="0.7" right="0.7" top="0.75" bottom="0.75" header="0.3" footer="0.3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992C2-93FB-4A94-9BA3-7D4A8F1596C7}">
  <dimension ref="B6:P61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4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9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284736.12</v>
      </c>
      <c r="F14" s="149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228530.06</v>
      </c>
      <c r="F15" s="150">
        <f>E15+E16+E17</f>
        <v>284736.12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21916.07</v>
      </c>
      <c r="F16" s="150">
        <v>90000</v>
      </c>
      <c r="G16" s="22">
        <v>9639.39</v>
      </c>
      <c r="H16" s="23" t="s">
        <v>8</v>
      </c>
      <c r="I16" s="24"/>
      <c r="J16" s="25">
        <v>13605.97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34289.99</v>
      </c>
      <c r="F17" s="150">
        <f>F15-F16</f>
        <v>194736.12</v>
      </c>
      <c r="G17" s="22">
        <v>12136.29</v>
      </c>
      <c r="H17" s="29" t="s">
        <v>10</v>
      </c>
      <c r="I17" s="30"/>
      <c r="J17" s="25">
        <v>22906.68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5785.2400000000007</v>
      </c>
      <c r="F18" s="150"/>
      <c r="G18" s="22">
        <v>12514.31</v>
      </c>
      <c r="H18" s="29" t="s">
        <v>12</v>
      </c>
      <c r="I18" s="30"/>
      <c r="J18" s="25">
        <v>155629.24</v>
      </c>
      <c r="K18" s="31" t="s">
        <v>12</v>
      </c>
    </row>
    <row r="19" spans="2:11">
      <c r="B19" s="344" t="s">
        <v>13</v>
      </c>
      <c r="C19" s="345"/>
      <c r="D19" s="346"/>
      <c r="E19" s="20">
        <v>14615187.189999999</v>
      </c>
      <c r="F19" s="150"/>
      <c r="G19" s="33"/>
      <c r="H19" s="34"/>
      <c r="I19" s="30"/>
      <c r="J19" s="25">
        <v>36388.17</v>
      </c>
      <c r="K19" s="31" t="s">
        <v>14</v>
      </c>
    </row>
    <row r="20" spans="2:11">
      <c r="B20" s="358" t="s">
        <v>15</v>
      </c>
      <c r="C20" s="359"/>
      <c r="D20" s="360"/>
      <c r="E20" s="35">
        <f>SUM(E21:E23)</f>
        <v>144353.79999999999</v>
      </c>
      <c r="F20" s="159">
        <f>SUM(E24:E31)</f>
        <v>95591.51</v>
      </c>
      <c r="G20" s="361" t="s">
        <v>16</v>
      </c>
      <c r="H20" s="362"/>
      <c r="I20" s="36"/>
      <c r="J20" s="37"/>
      <c r="K20" s="38"/>
    </row>
    <row r="21" spans="2:11">
      <c r="B21" s="40"/>
      <c r="C21" s="41"/>
      <c r="D21" s="122" t="s">
        <v>62</v>
      </c>
      <c r="E21" s="43">
        <v>928</v>
      </c>
      <c r="F21" s="149">
        <f>+F17-F20</f>
        <v>99144.61</v>
      </c>
      <c r="G21" s="44">
        <v>12066.72</v>
      </c>
      <c r="H21" s="29" t="s">
        <v>10</v>
      </c>
      <c r="I21" s="30"/>
      <c r="J21" s="37"/>
      <c r="K21" s="45"/>
    </row>
    <row r="22" spans="2:11">
      <c r="B22" s="40"/>
      <c r="C22" s="41"/>
      <c r="D22" s="122" t="s">
        <v>142</v>
      </c>
      <c r="E22" s="43">
        <v>40600</v>
      </c>
      <c r="F22" s="149"/>
      <c r="G22" s="44">
        <v>9849.35</v>
      </c>
      <c r="H22" s="29" t="s">
        <v>18</v>
      </c>
      <c r="I22" s="30"/>
      <c r="J22" s="50"/>
      <c r="K22" s="38"/>
    </row>
    <row r="23" spans="2:11" ht="15" thickBot="1">
      <c r="B23" s="40"/>
      <c r="C23" s="41"/>
      <c r="D23" s="122" t="s">
        <v>143</v>
      </c>
      <c r="E23" s="43">
        <v>102825.8</v>
      </c>
      <c r="F23" s="149"/>
      <c r="G23" s="51"/>
      <c r="H23" s="34"/>
      <c r="I23" s="30"/>
      <c r="J23" s="52"/>
      <c r="K23" s="53"/>
    </row>
    <row r="24" spans="2:11" ht="15" thickBot="1">
      <c r="B24" s="46" t="s">
        <v>17</v>
      </c>
      <c r="C24" s="47"/>
      <c r="D24" s="48"/>
      <c r="E24" s="49">
        <v>43625.67</v>
      </c>
      <c r="F24" s="39"/>
      <c r="G24" s="331" t="s">
        <v>21</v>
      </c>
      <c r="H24" s="332"/>
      <c r="I24" s="332"/>
      <c r="J24" s="332"/>
      <c r="K24" s="333"/>
    </row>
    <row r="25" spans="2:11">
      <c r="B25" s="366" t="s">
        <v>140</v>
      </c>
      <c r="C25" s="367"/>
      <c r="D25" s="368"/>
      <c r="E25" s="49">
        <v>0</v>
      </c>
      <c r="F25" s="39"/>
      <c r="G25" s="54"/>
      <c r="H25" s="55"/>
      <c r="I25" s="56"/>
      <c r="J25" s="57"/>
      <c r="K25" s="58"/>
    </row>
    <row r="26" spans="2:11">
      <c r="B26" s="344" t="s">
        <v>78</v>
      </c>
      <c r="C26" s="345"/>
      <c r="D26" s="346"/>
      <c r="E26" s="49">
        <v>50000</v>
      </c>
      <c r="F26" s="39"/>
      <c r="G26" s="347" t="s">
        <v>5</v>
      </c>
      <c r="H26" s="348"/>
      <c r="I26" s="59"/>
      <c r="J26" s="60"/>
      <c r="K26" s="45"/>
    </row>
    <row r="27" spans="2:11">
      <c r="B27" s="344" t="s">
        <v>144</v>
      </c>
      <c r="C27" s="345"/>
      <c r="D27" s="346"/>
      <c r="E27" s="49">
        <v>0</v>
      </c>
      <c r="F27" s="149">
        <v>0</v>
      </c>
      <c r="G27" s="22">
        <f>11654.93-11500</f>
        <v>154.93000000000029</v>
      </c>
      <c r="H27" s="62" t="s">
        <v>9</v>
      </c>
      <c r="I27" s="59"/>
      <c r="J27" s="60"/>
      <c r="K27" s="45"/>
    </row>
    <row r="28" spans="2:11">
      <c r="B28" s="344" t="s">
        <v>22</v>
      </c>
      <c r="C28" s="345"/>
      <c r="D28" s="346"/>
      <c r="E28" s="49">
        <f>1687.04+278.8</f>
        <v>1965.84</v>
      </c>
      <c r="F28" s="149">
        <v>0</v>
      </c>
      <c r="G28" s="22">
        <v>2089.0700000000002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344" t="s">
        <v>24</v>
      </c>
      <c r="C29" s="345"/>
      <c r="D29" s="346"/>
      <c r="E29" s="49">
        <v>0</v>
      </c>
      <c r="F29" s="149">
        <v>0</v>
      </c>
      <c r="G29" s="67">
        <v>1338.29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25</v>
      </c>
      <c r="C30" s="345"/>
      <c r="D30" s="346"/>
      <c r="E30" s="49">
        <v>0</v>
      </c>
      <c r="F30" s="149">
        <v>0</v>
      </c>
      <c r="G30" s="71">
        <v>2202.9499999999998</v>
      </c>
      <c r="H30" s="72" t="s">
        <v>12</v>
      </c>
      <c r="I30" s="73"/>
      <c r="J30" s="74" t="s">
        <v>32</v>
      </c>
      <c r="K30" s="75" t="s">
        <v>33</v>
      </c>
    </row>
    <row r="31" spans="2:11" ht="15" thickBot="1">
      <c r="B31" s="363" t="s">
        <v>29</v>
      </c>
      <c r="C31" s="364"/>
      <c r="D31" s="365"/>
      <c r="E31" s="66">
        <v>0</v>
      </c>
      <c r="F31" s="39">
        <f>SUM(F27:F30)</f>
        <v>0</v>
      </c>
      <c r="G31" s="76"/>
      <c r="H31" s="76"/>
      <c r="I31" s="76"/>
      <c r="J31" s="76"/>
      <c r="K31" s="1"/>
    </row>
    <row r="34" spans="5:12">
      <c r="E34" s="61"/>
      <c r="F34" s="160"/>
      <c r="G34" s="8"/>
      <c r="K34" s="110" t="s">
        <v>134</v>
      </c>
      <c r="L34" s="86"/>
    </row>
    <row r="35" spans="5:12">
      <c r="E35" s="161" t="s">
        <v>131</v>
      </c>
      <c r="F35" s="162"/>
      <c r="G35" s="8"/>
      <c r="H35" s="61"/>
      <c r="I35" s="61"/>
      <c r="J35" s="61"/>
      <c r="K35" s="110"/>
      <c r="L35" s="86"/>
    </row>
    <row r="36" spans="5:12">
      <c r="E36" s="161"/>
      <c r="F36" s="162"/>
      <c r="G36" s="8"/>
      <c r="H36" s="61"/>
      <c r="I36" s="61"/>
      <c r="J36" s="61"/>
      <c r="K36" s="82" t="s">
        <v>34</v>
      </c>
      <c r="L36" s="86">
        <f>L16</f>
        <v>0</v>
      </c>
    </row>
    <row r="37" spans="5:12">
      <c r="E37" s="61" t="s">
        <v>34</v>
      </c>
      <c r="F37" s="162">
        <f>F17</f>
        <v>194736.12</v>
      </c>
      <c r="G37" s="8"/>
      <c r="H37" s="61"/>
      <c r="I37" s="61"/>
      <c r="J37" s="61"/>
      <c r="K37" s="82" t="s">
        <v>35</v>
      </c>
      <c r="L37" s="86">
        <f>+L30</f>
        <v>0</v>
      </c>
    </row>
    <row r="38" spans="5:12" s="61" customFormat="1" ht="15" customHeight="1">
      <c r="E38" s="61" t="s">
        <v>35</v>
      </c>
      <c r="F38" s="162">
        <f>+F31</f>
        <v>0</v>
      </c>
      <c r="G38" s="86"/>
      <c r="H38" s="98"/>
      <c r="J38" s="105"/>
      <c r="K38" s="82" t="s">
        <v>36</v>
      </c>
      <c r="L38" s="86">
        <v>0</v>
      </c>
    </row>
    <row r="39" spans="5:12" s="61" customFormat="1" ht="15" customHeight="1">
      <c r="E39" s="61" t="s">
        <v>36</v>
      </c>
      <c r="F39" s="162">
        <v>0</v>
      </c>
      <c r="G39" s="86">
        <v>480000</v>
      </c>
      <c r="H39" s="98"/>
      <c r="I39" s="98"/>
      <c r="K39" s="82" t="s">
        <v>37</v>
      </c>
      <c r="L39" s="86">
        <v>0</v>
      </c>
    </row>
    <row r="40" spans="5:12" s="61" customFormat="1" ht="15" customHeight="1">
      <c r="E40" s="61" t="s">
        <v>37</v>
      </c>
      <c r="F40" s="162">
        <v>0</v>
      </c>
      <c r="G40" s="86"/>
      <c r="H40" s="98"/>
      <c r="I40" s="98"/>
      <c r="K40" s="112" t="s">
        <v>38</v>
      </c>
      <c r="L40" s="111">
        <f>SUM(L36:L39)</f>
        <v>0</v>
      </c>
    </row>
    <row r="41" spans="5:12" s="61" customFormat="1" ht="15" customHeight="1">
      <c r="E41" s="163" t="s">
        <v>38</v>
      </c>
      <c r="F41" s="164">
        <f>SUM(F37:F40)</f>
        <v>194736.12</v>
      </c>
      <c r="G41" s="86"/>
      <c r="H41" s="81"/>
      <c r="I41" s="8"/>
      <c r="J41" s="9"/>
      <c r="K41" s="113"/>
      <c r="L41" s="94"/>
    </row>
    <row r="42" spans="5:12" s="61" customFormat="1" ht="15" customHeight="1">
      <c r="E42" s="165"/>
      <c r="F42" s="166"/>
      <c r="G42" s="9"/>
      <c r="H42" s="81"/>
      <c r="I42" s="8"/>
      <c r="J42" s="9"/>
      <c r="K42" s="114" t="s">
        <v>135</v>
      </c>
      <c r="L42" s="94">
        <v>85000</v>
      </c>
    </row>
    <row r="43" spans="5:12" s="61" customFormat="1" ht="15" customHeight="1">
      <c r="E43" s="167" t="s">
        <v>133</v>
      </c>
      <c r="F43" s="166">
        <v>0</v>
      </c>
      <c r="G43" s="9"/>
      <c r="H43" s="81"/>
      <c r="I43" s="8"/>
      <c r="J43" s="9"/>
      <c r="K43" s="113" t="s">
        <v>137</v>
      </c>
      <c r="L43" s="154">
        <v>1500000</v>
      </c>
    </row>
    <row r="44" spans="5:12" s="61" customFormat="1" ht="15" customHeight="1">
      <c r="E44" s="167" t="s">
        <v>81</v>
      </c>
      <c r="F44" s="166">
        <v>357594</v>
      </c>
      <c r="G44" s="8"/>
      <c r="H44" s="81"/>
      <c r="I44" s="8"/>
      <c r="J44" s="9"/>
      <c r="K44" s="114" t="s">
        <v>138</v>
      </c>
      <c r="L44" s="94">
        <v>80000</v>
      </c>
    </row>
    <row r="45" spans="5:12" s="61" customFormat="1" ht="15" customHeight="1">
      <c r="E45" s="168" t="s">
        <v>24</v>
      </c>
      <c r="F45" s="169">
        <v>0</v>
      </c>
      <c r="G45" s="8"/>
      <c r="H45" s="80"/>
      <c r="I45" s="8"/>
      <c r="J45" s="8"/>
      <c r="K45" s="114" t="s">
        <v>139</v>
      </c>
      <c r="L45" s="94">
        <v>75000</v>
      </c>
    </row>
    <row r="46" spans="5:12" s="61" customFormat="1" ht="15" customHeight="1">
      <c r="E46" s="168" t="s">
        <v>39</v>
      </c>
      <c r="F46" s="169">
        <v>2000</v>
      </c>
      <c r="G46" s="8"/>
      <c r="H46" s="82"/>
      <c r="I46" s="8"/>
      <c r="J46" s="8"/>
      <c r="K46" s="114" t="s">
        <v>105</v>
      </c>
      <c r="L46" s="94">
        <v>50000</v>
      </c>
    </row>
    <row r="47" spans="5:12" s="61" customFormat="1" ht="15" customHeight="1">
      <c r="E47" s="168" t="s">
        <v>22</v>
      </c>
      <c r="F47" s="169">
        <v>2000</v>
      </c>
      <c r="G47" s="8"/>
      <c r="H47" s="82"/>
      <c r="I47" s="8"/>
      <c r="J47" s="8"/>
      <c r="K47" s="116" t="s">
        <v>24</v>
      </c>
      <c r="L47" s="117">
        <f>65000+15000+100000</f>
        <v>180000</v>
      </c>
    </row>
    <row r="48" spans="5:12" s="61" customFormat="1" ht="15" customHeight="1">
      <c r="E48" s="168" t="s">
        <v>40</v>
      </c>
      <c r="F48" s="166">
        <v>45000</v>
      </c>
      <c r="G48" s="174">
        <v>134250.92000000001</v>
      </c>
      <c r="H48" s="82"/>
      <c r="I48" s="8"/>
      <c r="J48" s="8"/>
      <c r="K48" s="116" t="s">
        <v>39</v>
      </c>
      <c r="L48" s="117">
        <v>2000</v>
      </c>
    </row>
    <row r="49" spans="5:12" s="61" customFormat="1" ht="15" customHeight="1">
      <c r="E49" s="168" t="s">
        <v>117</v>
      </c>
      <c r="F49" s="166">
        <v>0</v>
      </c>
      <c r="G49" s="8"/>
      <c r="H49" s="82"/>
      <c r="I49" s="8"/>
      <c r="J49" s="8"/>
      <c r="K49" s="116" t="s">
        <v>22</v>
      </c>
      <c r="L49" s="117">
        <v>45000</v>
      </c>
    </row>
    <row r="50" spans="5:12" s="61" customFormat="1" ht="15" customHeight="1">
      <c r="E50" s="170" t="s">
        <v>41</v>
      </c>
      <c r="F50" s="171">
        <f>SUM(F43:F49)</f>
        <v>406594</v>
      </c>
      <c r="G50" s="8"/>
      <c r="H50" s="82"/>
      <c r="I50" s="8"/>
      <c r="J50" s="8"/>
      <c r="K50" s="116" t="s">
        <v>69</v>
      </c>
      <c r="L50" s="117">
        <v>60000</v>
      </c>
    </row>
    <row r="51" spans="5:12" s="61" customFormat="1" ht="15" customHeight="1">
      <c r="E51" s="170" t="s">
        <v>42</v>
      </c>
      <c r="F51" s="171">
        <f>F41-F50</f>
        <v>-211857.88</v>
      </c>
      <c r="G51" s="8"/>
      <c r="H51" s="82"/>
      <c r="I51" s="8"/>
      <c r="J51" s="8"/>
      <c r="K51" s="116" t="s">
        <v>40</v>
      </c>
      <c r="L51" s="94">
        <v>150000</v>
      </c>
    </row>
    <row r="52" spans="5:12" s="61" customFormat="1">
      <c r="F52" s="160"/>
      <c r="G52" s="8"/>
      <c r="H52" s="82"/>
      <c r="I52" s="8"/>
      <c r="J52" s="8"/>
      <c r="K52" s="116" t="s">
        <v>136</v>
      </c>
      <c r="L52" s="94">
        <v>700576.31191780814</v>
      </c>
    </row>
    <row r="53" spans="5:12" s="61" customFormat="1">
      <c r="E53" s="61" t="s">
        <v>43</v>
      </c>
      <c r="F53" s="160">
        <f>43800+180000</f>
        <v>223800</v>
      </c>
      <c r="G53" s="8"/>
      <c r="H53" s="82"/>
      <c r="I53" s="8"/>
      <c r="J53" s="8"/>
      <c r="K53" s="118" t="s">
        <v>41</v>
      </c>
      <c r="L53" s="119">
        <f>SUM(L42:L51)</f>
        <v>2227000</v>
      </c>
    </row>
    <row r="54" spans="5:12" s="61" customFormat="1">
      <c r="E54" s="61" t="s">
        <v>44</v>
      </c>
      <c r="F54" s="160">
        <v>430000</v>
      </c>
      <c r="G54" s="8"/>
      <c r="H54" s="82"/>
      <c r="I54" s="8"/>
      <c r="J54" s="8"/>
      <c r="K54" s="118" t="s">
        <v>42</v>
      </c>
      <c r="L54" s="119">
        <f>L40-L53</f>
        <v>-2227000</v>
      </c>
    </row>
    <row r="55" spans="5:12" s="61" customFormat="1">
      <c r="E55" s="61" t="s">
        <v>91</v>
      </c>
      <c r="F55" s="169">
        <v>495944.22</v>
      </c>
      <c r="G55" s="8"/>
      <c r="H55" s="82"/>
      <c r="I55" s="8"/>
      <c r="J55" s="8"/>
      <c r="K55" s="82"/>
      <c r="L55" s="80"/>
    </row>
    <row r="56" spans="5:12" s="61" customFormat="1">
      <c r="E56" s="170" t="s">
        <v>46</v>
      </c>
      <c r="F56" s="172">
        <f>SUM(F53:F55)</f>
        <v>1149744.22</v>
      </c>
      <c r="G56" s="8"/>
      <c r="H56" s="82"/>
      <c r="I56" s="8"/>
      <c r="J56" s="8"/>
      <c r="K56" s="82" t="s">
        <v>43</v>
      </c>
      <c r="L56" s="80">
        <f>43800+180000</f>
        <v>223800</v>
      </c>
    </row>
    <row r="57" spans="5:12" s="61" customFormat="1">
      <c r="F57" s="160"/>
      <c r="G57" s="8"/>
      <c r="H57" s="82"/>
      <c r="I57" s="8"/>
      <c r="J57" s="8"/>
      <c r="K57" s="82" t="s">
        <v>44</v>
      </c>
      <c r="L57" s="80">
        <f>100000+350000</f>
        <v>450000</v>
      </c>
    </row>
    <row r="58" spans="5:12" s="61" customFormat="1">
      <c r="E58" s="170" t="s">
        <v>47</v>
      </c>
      <c r="F58" s="172">
        <f>F51-F56</f>
        <v>-1361602.1</v>
      </c>
      <c r="G58" s="8"/>
      <c r="H58" s="82"/>
      <c r="I58" s="8"/>
      <c r="J58" s="8"/>
      <c r="K58" s="82" t="s">
        <v>91</v>
      </c>
      <c r="L58" s="117">
        <v>0</v>
      </c>
    </row>
    <row r="59" spans="5:12" s="61" customFormat="1">
      <c r="F59" s="160"/>
      <c r="G59" s="82"/>
      <c r="H59" s="82"/>
      <c r="I59" s="8"/>
      <c r="J59" s="8"/>
      <c r="K59" s="118" t="s">
        <v>46</v>
      </c>
      <c r="L59" s="120">
        <f>SUM(L56:L58)</f>
        <v>673800</v>
      </c>
    </row>
    <row r="60" spans="5:12" s="61" customFormat="1">
      <c r="F60" s="160"/>
      <c r="G60" s="82"/>
      <c r="H60" s="82"/>
      <c r="I60" s="8"/>
      <c r="J60" s="8"/>
      <c r="K60" s="82"/>
      <c r="L60" s="80"/>
    </row>
    <row r="61" spans="5:12" s="61" customFormat="1">
      <c r="F61" s="39"/>
      <c r="G61" s="82"/>
      <c r="H61" s="82"/>
      <c r="I61" s="8"/>
      <c r="J61" s="8"/>
      <c r="K61" s="118" t="s">
        <v>47</v>
      </c>
      <c r="L61" s="120">
        <f>L54-L59</f>
        <v>-2900800</v>
      </c>
    </row>
  </sheetData>
  <mergeCells count="22">
    <mergeCell ref="B29:D29"/>
    <mergeCell ref="B30:D30"/>
    <mergeCell ref="B31:D31"/>
    <mergeCell ref="B25:D25"/>
    <mergeCell ref="G24:K24"/>
    <mergeCell ref="B26:D26"/>
    <mergeCell ref="B27:D27"/>
    <mergeCell ref="G26:H26"/>
    <mergeCell ref="B28:D28"/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</mergeCells>
  <pageMargins left="0.7" right="0.7" top="0.75" bottom="0.75" header="0.3" footer="0.3"/>
  <drawing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ADA12-6DB6-4419-BAC0-EFD018E05626}">
  <dimension ref="B6:P62"/>
  <sheetViews>
    <sheetView showGridLines="0" topLeftCell="A23" workbookViewId="0">
      <selection activeCell="H50" sqref="H50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8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9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210955.14999999997</v>
      </c>
      <c r="F14" s="149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156984.71999999997</v>
      </c>
      <c r="F15" s="150">
        <f>E15+E16+E17</f>
        <v>210955.14999999997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21916.07</v>
      </c>
      <c r="F16" s="150">
        <v>90000</v>
      </c>
      <c r="G16" s="22">
        <v>9639.39</v>
      </c>
      <c r="H16" s="23" t="s">
        <v>8</v>
      </c>
      <c r="I16" s="24"/>
      <c r="J16" s="25">
        <v>13605.97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32054.359999999997</v>
      </c>
      <c r="F17" s="150">
        <f>F15-F16</f>
        <v>120955.14999999997</v>
      </c>
      <c r="G17" s="22">
        <v>11857.49</v>
      </c>
      <c r="H17" s="29" t="s">
        <v>10</v>
      </c>
      <c r="I17" s="30"/>
      <c r="J17" s="25">
        <v>51361.34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5788.5499999999993</v>
      </c>
      <c r="F18" s="150"/>
      <c r="G18" s="22">
        <v>10557.48</v>
      </c>
      <c r="H18" s="29" t="s">
        <v>12</v>
      </c>
      <c r="I18" s="30"/>
      <c r="J18" s="25">
        <v>55629.24</v>
      </c>
      <c r="K18" s="31" t="s">
        <v>12</v>
      </c>
    </row>
    <row r="19" spans="2:11">
      <c r="B19" s="344" t="s">
        <v>13</v>
      </c>
      <c r="C19" s="345"/>
      <c r="D19" s="346"/>
      <c r="E19" s="20">
        <v>15181908.15</v>
      </c>
      <c r="F19" s="150"/>
      <c r="G19" s="33"/>
      <c r="H19" s="34"/>
      <c r="I19" s="30"/>
      <c r="J19" s="25">
        <v>36388.17</v>
      </c>
      <c r="K19" s="31" t="s">
        <v>14</v>
      </c>
    </row>
    <row r="20" spans="2:11">
      <c r="B20" s="358"/>
      <c r="C20" s="359"/>
      <c r="D20" s="360"/>
      <c r="E20" s="35">
        <f>SUM(E21:E21)</f>
        <v>0</v>
      </c>
      <c r="F20" s="159">
        <f>SUM(E22:E29)</f>
        <v>380943</v>
      </c>
      <c r="G20" s="361" t="s">
        <v>16</v>
      </c>
      <c r="H20" s="362"/>
      <c r="I20" s="36"/>
      <c r="J20" s="37"/>
      <c r="K20" s="38"/>
    </row>
    <row r="21" spans="2:11">
      <c r="B21" s="40"/>
      <c r="C21" s="41"/>
      <c r="D21" s="122"/>
      <c r="E21" s="43">
        <v>0</v>
      </c>
      <c r="F21" s="149">
        <f>+F17-F20</f>
        <v>-259987.85000000003</v>
      </c>
      <c r="G21" s="44">
        <v>12066.72</v>
      </c>
      <c r="H21" s="29" t="s">
        <v>10</v>
      </c>
      <c r="I21" s="30"/>
      <c r="J21" s="37"/>
      <c r="K21" s="45"/>
    </row>
    <row r="22" spans="2:11">
      <c r="B22" s="46" t="s">
        <v>17</v>
      </c>
      <c r="C22" s="47"/>
      <c r="D22" s="48"/>
      <c r="E22" s="49">
        <v>16147</v>
      </c>
      <c r="F22" s="39"/>
      <c r="G22" s="44">
        <v>9849.35</v>
      </c>
      <c r="H22" s="29" t="s">
        <v>18</v>
      </c>
      <c r="I22" s="30"/>
      <c r="J22" s="50"/>
      <c r="K22" s="38"/>
    </row>
    <row r="23" spans="2:11" ht="15" thickBot="1">
      <c r="B23" s="366" t="s">
        <v>140</v>
      </c>
      <c r="C23" s="367"/>
      <c r="D23" s="368"/>
      <c r="E23" s="49">
        <v>0</v>
      </c>
      <c r="F23" s="39"/>
      <c r="G23" s="51"/>
      <c r="H23" s="34"/>
      <c r="I23" s="30"/>
      <c r="J23" s="52"/>
      <c r="K23" s="53"/>
    </row>
    <row r="24" spans="2:11" ht="15" thickBot="1">
      <c r="B24" s="344" t="s">
        <v>78</v>
      </c>
      <c r="C24" s="345"/>
      <c r="D24" s="346"/>
      <c r="E24" s="49">
        <v>0</v>
      </c>
      <c r="F24" s="39"/>
      <c r="G24" s="331" t="s">
        <v>21</v>
      </c>
      <c r="H24" s="332"/>
      <c r="I24" s="332"/>
      <c r="J24" s="332"/>
      <c r="K24" s="333"/>
    </row>
    <row r="25" spans="2:11">
      <c r="B25" s="344" t="s">
        <v>144</v>
      </c>
      <c r="C25" s="345"/>
      <c r="D25" s="346"/>
      <c r="E25" s="49">
        <v>357594</v>
      </c>
      <c r="F25" s="149">
        <v>0</v>
      </c>
      <c r="G25" s="54"/>
      <c r="H25" s="55"/>
      <c r="I25" s="56"/>
      <c r="J25" s="57"/>
      <c r="K25" s="58"/>
    </row>
    <row r="26" spans="2:11">
      <c r="B26" s="344" t="s">
        <v>22</v>
      </c>
      <c r="C26" s="345"/>
      <c r="D26" s="346"/>
      <c r="E26" s="49">
        <v>7202</v>
      </c>
      <c r="F26" s="149">
        <v>0</v>
      </c>
      <c r="G26" s="347" t="s">
        <v>5</v>
      </c>
      <c r="H26" s="348"/>
      <c r="I26" s="59"/>
      <c r="J26" s="60"/>
      <c r="K26" s="45"/>
    </row>
    <row r="27" spans="2:11">
      <c r="B27" s="344" t="s">
        <v>24</v>
      </c>
      <c r="C27" s="345"/>
      <c r="D27" s="346"/>
      <c r="E27" s="49">
        <v>0</v>
      </c>
      <c r="F27" s="149">
        <v>0</v>
      </c>
      <c r="G27" s="22">
        <f>11654.93-11500</f>
        <v>154.93000000000029</v>
      </c>
      <c r="H27" s="62" t="s">
        <v>9</v>
      </c>
      <c r="I27" s="59"/>
      <c r="J27" s="60"/>
      <c r="K27" s="45"/>
    </row>
    <row r="28" spans="2:11">
      <c r="B28" s="344" t="s">
        <v>25</v>
      </c>
      <c r="C28" s="345"/>
      <c r="D28" s="346"/>
      <c r="E28" s="49">
        <v>0</v>
      </c>
      <c r="F28" s="149">
        <v>0</v>
      </c>
      <c r="G28" s="22">
        <v>2089.64</v>
      </c>
      <c r="H28" s="62" t="s">
        <v>26</v>
      </c>
      <c r="I28" s="63"/>
      <c r="J28" s="64" t="s">
        <v>27</v>
      </c>
      <c r="K28" s="65" t="s">
        <v>28</v>
      </c>
    </row>
    <row r="29" spans="2:11" ht="15" thickBot="1">
      <c r="B29" s="363" t="s">
        <v>29</v>
      </c>
      <c r="C29" s="364"/>
      <c r="D29" s="365"/>
      <c r="E29" s="66">
        <v>0</v>
      </c>
      <c r="F29" s="39">
        <f>SUM(F25:F28)</f>
        <v>0</v>
      </c>
      <c r="G29" s="67">
        <v>1339.23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69"/>
      <c r="C30" s="69"/>
      <c r="D30" s="70"/>
      <c r="E30" s="70"/>
      <c r="F30" s="39"/>
      <c r="G30" s="71">
        <v>2204.75</v>
      </c>
      <c r="H30" s="72" t="s">
        <v>12</v>
      </c>
      <c r="I30" s="73"/>
      <c r="J30" s="74" t="s">
        <v>32</v>
      </c>
      <c r="K30" s="75" t="s">
        <v>33</v>
      </c>
    </row>
    <row r="31" spans="2:11">
      <c r="E31" s="61"/>
      <c r="F31" s="160"/>
      <c r="G31" s="76"/>
      <c r="H31" s="76"/>
      <c r="I31" s="76"/>
      <c r="J31" s="76"/>
      <c r="K31" s="1"/>
    </row>
    <row r="32" spans="2:11">
      <c r="B32">
        <v>467.08</v>
      </c>
      <c r="E32" s="61"/>
      <c r="F32" s="160"/>
    </row>
    <row r="33" spans="2:7">
      <c r="B33" s="61"/>
      <c r="C33" s="61"/>
      <c r="D33" s="83"/>
      <c r="E33" s="161" t="s">
        <v>134</v>
      </c>
      <c r="F33" s="162"/>
      <c r="G33" s="8"/>
    </row>
    <row r="34" spans="2:7">
      <c r="B34" s="61">
        <v>159.9</v>
      </c>
      <c r="C34" s="61"/>
      <c r="D34" s="83"/>
      <c r="E34" s="161"/>
      <c r="F34" s="162"/>
      <c r="G34" s="8"/>
    </row>
    <row r="35" spans="2:7">
      <c r="B35" s="61">
        <v>139.9</v>
      </c>
      <c r="C35" s="61"/>
      <c r="D35" s="83"/>
      <c r="E35" s="61" t="s">
        <v>34</v>
      </c>
      <c r="F35" s="162">
        <f>F17</f>
        <v>120955.14999999997</v>
      </c>
      <c r="G35" s="8"/>
    </row>
    <row r="36" spans="2:7">
      <c r="B36" s="61">
        <v>129.9</v>
      </c>
      <c r="C36" s="61"/>
      <c r="D36" s="83"/>
      <c r="E36" s="61" t="s">
        <v>35</v>
      </c>
      <c r="F36" s="162">
        <f>+F29</f>
        <v>0</v>
      </c>
      <c r="G36" s="8"/>
    </row>
    <row r="37" spans="2:7">
      <c r="B37" s="61">
        <f>SUM(B34:B36)</f>
        <v>429.70000000000005</v>
      </c>
      <c r="C37" s="61"/>
      <c r="D37" s="83"/>
      <c r="E37" s="61" t="s">
        <v>36</v>
      </c>
      <c r="F37" s="162">
        <v>0</v>
      </c>
      <c r="G37" s="8"/>
    </row>
    <row r="38" spans="2:7" s="61" customFormat="1" ht="15" customHeight="1">
      <c r="B38" s="61">
        <f>B37/1.3</f>
        <v>330.53846153846155</v>
      </c>
      <c r="D38" s="83"/>
      <c r="E38" s="61" t="s">
        <v>37</v>
      </c>
      <c r="F38" s="162">
        <v>0</v>
      </c>
      <c r="G38" s="88">
        <v>1659693.86</v>
      </c>
    </row>
    <row r="39" spans="2:7" s="61" customFormat="1" ht="15" customHeight="1">
      <c r="D39" s="83"/>
      <c r="E39" s="163" t="s">
        <v>38</v>
      </c>
      <c r="F39" s="164">
        <f>SUM(F35:F38)</f>
        <v>120955.14999999997</v>
      </c>
      <c r="G39" s="86">
        <v>480000</v>
      </c>
    </row>
    <row r="40" spans="2:7" s="61" customFormat="1" ht="15" customHeight="1">
      <c r="D40" s="83"/>
      <c r="E40" s="165"/>
      <c r="F40" s="166"/>
      <c r="G40" s="86"/>
    </row>
    <row r="41" spans="2:7" s="61" customFormat="1" ht="15" customHeight="1">
      <c r="D41" s="83"/>
      <c r="E41" s="89" t="s">
        <v>146</v>
      </c>
      <c r="F41" s="93">
        <v>85000</v>
      </c>
      <c r="G41" s="86"/>
    </row>
    <row r="42" spans="2:7" s="61" customFormat="1" ht="15" customHeight="1">
      <c r="D42" s="83"/>
      <c r="E42" s="87" t="s">
        <v>137</v>
      </c>
      <c r="F42" s="39">
        <v>1500000</v>
      </c>
      <c r="G42" s="9"/>
    </row>
    <row r="43" spans="2:7" s="61" customFormat="1" ht="15" customHeight="1">
      <c r="D43" s="83"/>
      <c r="E43" s="89" t="s">
        <v>138</v>
      </c>
      <c r="F43" s="93">
        <v>80000</v>
      </c>
      <c r="G43" s="9"/>
    </row>
    <row r="44" spans="2:7" s="61" customFormat="1" ht="15" customHeight="1">
      <c r="D44" s="83"/>
      <c r="E44" s="89" t="s">
        <v>139</v>
      </c>
      <c r="F44" s="93">
        <v>75000</v>
      </c>
      <c r="G44" s="8"/>
    </row>
    <row r="45" spans="2:7" s="61" customFormat="1" ht="15" customHeight="1">
      <c r="D45" s="83"/>
      <c r="E45" s="89" t="s">
        <v>81</v>
      </c>
      <c r="F45" s="93">
        <v>357594</v>
      </c>
      <c r="G45" s="8"/>
    </row>
    <row r="46" spans="2:7" s="61" customFormat="1" ht="15" customHeight="1">
      <c r="D46" s="83"/>
      <c r="E46" s="89" t="s">
        <v>105</v>
      </c>
      <c r="F46" s="93">
        <v>50000</v>
      </c>
      <c r="G46" s="8"/>
    </row>
    <row r="47" spans="2:7" s="61" customFormat="1" ht="15" customHeight="1">
      <c r="D47" s="83"/>
      <c r="E47" s="91" t="s">
        <v>24</v>
      </c>
      <c r="F47" s="95">
        <f>65000+15000+100000</f>
        <v>180000</v>
      </c>
      <c r="G47" s="8"/>
    </row>
    <row r="48" spans="2:7" s="61" customFormat="1" ht="15" customHeight="1">
      <c r="D48" s="83"/>
      <c r="E48" s="91" t="s">
        <v>39</v>
      </c>
      <c r="F48" s="95">
        <v>2000</v>
      </c>
      <c r="G48" s="8"/>
    </row>
    <row r="49" spans="5:7" s="61" customFormat="1" ht="15" customHeight="1">
      <c r="E49" s="91" t="s">
        <v>22</v>
      </c>
      <c r="F49" s="95">
        <v>45000</v>
      </c>
      <c r="G49" s="174">
        <v>134250.92000000001</v>
      </c>
    </row>
    <row r="50" spans="5:7" s="61" customFormat="1" ht="15" customHeight="1">
      <c r="E50" s="91" t="s">
        <v>69</v>
      </c>
      <c r="F50" s="95">
        <v>60000</v>
      </c>
      <c r="G50" s="8"/>
    </row>
    <row r="51" spans="5:7" s="61" customFormat="1" ht="15" customHeight="1">
      <c r="E51" s="91" t="s">
        <v>40</v>
      </c>
      <c r="F51" s="93">
        <v>100000</v>
      </c>
      <c r="G51" s="8"/>
    </row>
    <row r="52" spans="5:7" s="61" customFormat="1" ht="15" customHeight="1">
      <c r="E52" s="91" t="s">
        <v>136</v>
      </c>
      <c r="F52" s="93">
        <v>700576.31191780814</v>
      </c>
      <c r="G52" s="8"/>
    </row>
    <row r="53" spans="5:7" s="61" customFormat="1" ht="15" customHeight="1">
      <c r="E53" s="91" t="s">
        <v>145</v>
      </c>
      <c r="F53" s="93">
        <v>134250.92000000001</v>
      </c>
      <c r="G53" s="8"/>
    </row>
    <row r="54" spans="5:7" s="61" customFormat="1">
      <c r="E54" s="96" t="s">
        <v>41</v>
      </c>
      <c r="F54" s="97">
        <f>SUM(F41:F53)</f>
        <v>3369421.2319178078</v>
      </c>
      <c r="G54" s="8"/>
    </row>
    <row r="55" spans="5:7" s="61" customFormat="1">
      <c r="E55" s="96" t="s">
        <v>42</v>
      </c>
      <c r="F55" s="97">
        <f>F39-F54</f>
        <v>-3248466.0819178079</v>
      </c>
      <c r="G55" s="8"/>
    </row>
    <row r="56" spans="5:7" s="61" customFormat="1">
      <c r="E56" s="83"/>
      <c r="F56" s="151"/>
      <c r="G56" s="8"/>
    </row>
    <row r="57" spans="5:7" s="61" customFormat="1">
      <c r="E57" s="83" t="s">
        <v>43</v>
      </c>
      <c r="F57" s="151">
        <f>43800+180000</f>
        <v>223800</v>
      </c>
      <c r="G57" s="8"/>
    </row>
    <row r="58" spans="5:7" s="61" customFormat="1">
      <c r="E58" s="83" t="s">
        <v>44</v>
      </c>
      <c r="F58" s="151">
        <f>100000+350000-20000-40000</f>
        <v>390000</v>
      </c>
      <c r="G58" s="8"/>
    </row>
    <row r="59" spans="5:7" s="61" customFormat="1">
      <c r="E59" s="83" t="s">
        <v>91</v>
      </c>
      <c r="F59" s="95">
        <v>496888.44</v>
      </c>
      <c r="G59" s="8"/>
    </row>
    <row r="60" spans="5:7" s="61" customFormat="1">
      <c r="E60" s="96" t="s">
        <v>46</v>
      </c>
      <c r="F60" s="99">
        <f>SUM(F57:F59)</f>
        <v>1110688.44</v>
      </c>
      <c r="G60" s="8"/>
    </row>
    <row r="61" spans="5:7" s="61" customFormat="1">
      <c r="E61" s="83"/>
      <c r="F61" s="151"/>
      <c r="G61" s="82"/>
    </row>
    <row r="62" spans="5:7" s="61" customFormat="1">
      <c r="E62" s="96" t="s">
        <v>47</v>
      </c>
      <c r="F62" s="99">
        <f>F55-F60</f>
        <v>-4359154.5219178079</v>
      </c>
      <c r="G62" s="82"/>
    </row>
  </sheetData>
  <mergeCells count="22"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  <mergeCell ref="B27:D27"/>
    <mergeCell ref="B28:D28"/>
    <mergeCell ref="B29:D29"/>
    <mergeCell ref="G24:K24"/>
    <mergeCell ref="B23:D23"/>
    <mergeCell ref="B24:D24"/>
    <mergeCell ref="G26:H26"/>
    <mergeCell ref="B25:D25"/>
    <mergeCell ref="B26:D26"/>
  </mergeCells>
  <pageMargins left="0.7" right="0.7" top="0.75" bottom="0.75" header="0.3" footer="0.3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FA032-3749-4EB7-A0F1-9F1A28A5112E}">
  <dimension ref="B6:P63"/>
  <sheetViews>
    <sheetView showGridLines="0" topLeftCell="A9" workbookViewId="0">
      <selection activeCell="J37" sqref="J37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8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9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242566.94999999995</v>
      </c>
      <c r="F14" s="148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173294.51999999996</v>
      </c>
      <c r="F15" s="153">
        <f>E15+E16+E17</f>
        <v>242566.94999999995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21916.07</v>
      </c>
      <c r="F16" s="153">
        <v>90000</v>
      </c>
      <c r="G16" s="22">
        <v>9639.39</v>
      </c>
      <c r="H16" s="23" t="s">
        <v>8</v>
      </c>
      <c r="I16" s="24"/>
      <c r="J16" s="25">
        <v>13605.97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47356.36</v>
      </c>
      <c r="F17" s="153">
        <f>F15-F16</f>
        <v>152566.94999999995</v>
      </c>
      <c r="G17" s="22">
        <v>11857.49</v>
      </c>
      <c r="H17" s="29" t="s">
        <v>10</v>
      </c>
      <c r="I17" s="30"/>
      <c r="J17" s="25">
        <v>44159.34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5791.4400000000014</v>
      </c>
      <c r="F18" s="153"/>
      <c r="G18" s="22">
        <v>25859.48</v>
      </c>
      <c r="H18" s="29" t="s">
        <v>12</v>
      </c>
      <c r="I18" s="30"/>
      <c r="J18" s="25">
        <v>80590.039999999994</v>
      </c>
      <c r="K18" s="31" t="s">
        <v>12</v>
      </c>
    </row>
    <row r="19" spans="2:11">
      <c r="B19" s="344" t="s">
        <v>13</v>
      </c>
      <c r="C19" s="345"/>
      <c r="D19" s="346"/>
      <c r="E19" s="20">
        <v>15210206.35</v>
      </c>
      <c r="F19" s="153"/>
      <c r="G19" s="33"/>
      <c r="H19" s="34"/>
      <c r="I19" s="30"/>
      <c r="J19" s="25">
        <v>34939.17</v>
      </c>
      <c r="K19" s="31" t="s">
        <v>14</v>
      </c>
    </row>
    <row r="20" spans="2:11">
      <c r="B20" s="187" t="s">
        <v>15</v>
      </c>
      <c r="C20" s="188"/>
      <c r="D20" s="189"/>
      <c r="E20" s="190">
        <f>SUM(E21:E22)</f>
        <v>54960.800000000003</v>
      </c>
      <c r="F20" s="153"/>
      <c r="G20" s="361" t="s">
        <v>16</v>
      </c>
      <c r="H20" s="362"/>
      <c r="I20" s="36"/>
      <c r="J20" s="37"/>
      <c r="K20" s="38"/>
    </row>
    <row r="21" spans="2:11">
      <c r="B21" s="374" t="s">
        <v>147</v>
      </c>
      <c r="C21" s="375"/>
      <c r="D21" s="376"/>
      <c r="E21" s="35">
        <v>54438.8</v>
      </c>
      <c r="F21" s="154"/>
      <c r="G21" s="44">
        <v>12066.72</v>
      </c>
      <c r="H21" s="29" t="s">
        <v>10</v>
      </c>
      <c r="I21" s="30"/>
      <c r="J21" s="37"/>
      <c r="K21" s="45"/>
    </row>
    <row r="22" spans="2:11">
      <c r="B22" s="371" t="s">
        <v>148</v>
      </c>
      <c r="C22" s="372"/>
      <c r="D22" s="373"/>
      <c r="E22" s="43">
        <v>522</v>
      </c>
      <c r="F22" s="154"/>
      <c r="G22" s="44">
        <v>9849.35</v>
      </c>
      <c r="H22" s="29" t="s">
        <v>18</v>
      </c>
      <c r="I22" s="30"/>
      <c r="J22" s="50"/>
      <c r="K22" s="38"/>
    </row>
    <row r="23" spans="2:11" ht="15" thickBot="1">
      <c r="B23" s="46" t="s">
        <v>17</v>
      </c>
      <c r="C23" s="47"/>
      <c r="D23" s="48"/>
      <c r="E23" s="49">
        <v>0</v>
      </c>
      <c r="F23" s="158">
        <f>SUM(E23:E30)</f>
        <v>491082.6</v>
      </c>
      <c r="G23" s="51"/>
      <c r="H23" s="34"/>
      <c r="I23" s="30"/>
      <c r="J23" s="52"/>
      <c r="K23" s="53"/>
    </row>
    <row r="24" spans="2:11" ht="15" thickBot="1">
      <c r="B24" s="366" t="s">
        <v>83</v>
      </c>
      <c r="C24" s="367"/>
      <c r="D24" s="368"/>
      <c r="E24" s="49">
        <v>75000</v>
      </c>
      <c r="F24" s="148">
        <f>+F17-F23</f>
        <v>-338515.65</v>
      </c>
      <c r="G24" s="331" t="s">
        <v>21</v>
      </c>
      <c r="H24" s="332"/>
      <c r="I24" s="332"/>
      <c r="J24" s="332"/>
      <c r="K24" s="333"/>
    </row>
    <row r="25" spans="2:11">
      <c r="B25" s="344" t="s">
        <v>78</v>
      </c>
      <c r="C25" s="345"/>
      <c r="D25" s="346"/>
      <c r="E25" s="49">
        <v>0</v>
      </c>
      <c r="F25" s="154"/>
      <c r="G25" s="54"/>
      <c r="H25" s="55"/>
      <c r="I25" s="56"/>
      <c r="J25" s="57"/>
      <c r="K25" s="58"/>
    </row>
    <row r="26" spans="2:11">
      <c r="B26" s="344" t="s">
        <v>144</v>
      </c>
      <c r="C26" s="345"/>
      <c r="D26" s="346"/>
      <c r="E26" s="49">
        <v>0</v>
      </c>
      <c r="F26" s="148"/>
      <c r="G26" s="347" t="s">
        <v>5</v>
      </c>
      <c r="H26" s="348"/>
      <c r="I26" s="59"/>
      <c r="J26" s="60"/>
      <c r="K26" s="45"/>
    </row>
    <row r="27" spans="2:11">
      <c r="B27" s="344" t="s">
        <v>22</v>
      </c>
      <c r="C27" s="345"/>
      <c r="D27" s="346"/>
      <c r="E27" s="49">
        <v>6082.6</v>
      </c>
      <c r="F27" s="148">
        <v>0</v>
      </c>
      <c r="G27" s="22">
        <f>11656.7-11500</f>
        <v>156.70000000000073</v>
      </c>
      <c r="H27" s="62" t="s">
        <v>9</v>
      </c>
      <c r="I27" s="59"/>
      <c r="J27" s="60"/>
      <c r="K27" s="45"/>
    </row>
    <row r="28" spans="2:11">
      <c r="B28" s="344" t="s">
        <v>24</v>
      </c>
      <c r="C28" s="345"/>
      <c r="D28" s="346"/>
      <c r="E28" s="49">
        <v>410000</v>
      </c>
      <c r="F28" s="148">
        <v>0</v>
      </c>
      <c r="G28" s="22">
        <v>2089.83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344" t="s">
        <v>25</v>
      </c>
      <c r="C29" s="345"/>
      <c r="D29" s="346"/>
      <c r="E29" s="49">
        <v>0</v>
      </c>
      <c r="F29" s="148">
        <v>0</v>
      </c>
      <c r="G29" s="67">
        <v>1339.55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63" t="s">
        <v>29</v>
      </c>
      <c r="C30" s="364"/>
      <c r="D30" s="365"/>
      <c r="E30" s="66">
        <v>0</v>
      </c>
      <c r="F30" s="154">
        <f>SUM(F26:F29)</f>
        <v>0</v>
      </c>
      <c r="G30" s="71">
        <v>2205.36</v>
      </c>
      <c r="H30" s="72" t="s">
        <v>12</v>
      </c>
      <c r="I30" s="73"/>
      <c r="J30" s="74" t="s">
        <v>32</v>
      </c>
      <c r="K30" s="75" t="s">
        <v>33</v>
      </c>
    </row>
    <row r="34" spans="5:7">
      <c r="E34" s="181" t="s">
        <v>134</v>
      </c>
      <c r="F34" s="178"/>
      <c r="G34" s="8"/>
    </row>
    <row r="35" spans="5:7">
      <c r="E35" s="181"/>
      <c r="F35" s="178"/>
      <c r="G35" s="8"/>
    </row>
    <row r="36" spans="5:7">
      <c r="E36" s="8" t="s">
        <v>34</v>
      </c>
      <c r="F36" s="178">
        <f>F17</f>
        <v>152566.94999999995</v>
      </c>
      <c r="G36" s="8"/>
    </row>
    <row r="37" spans="5:7">
      <c r="E37" s="8" t="s">
        <v>35</v>
      </c>
      <c r="F37" s="178">
        <f>+F30</f>
        <v>0</v>
      </c>
      <c r="G37" s="8"/>
    </row>
    <row r="38" spans="5:7" s="61" customFormat="1" ht="15" customHeight="1">
      <c r="E38" s="8" t="s">
        <v>36</v>
      </c>
      <c r="F38" s="178">
        <v>0</v>
      </c>
      <c r="G38" s="86">
        <v>1659693.86</v>
      </c>
    </row>
    <row r="39" spans="5:7" s="61" customFormat="1" ht="15" customHeight="1">
      <c r="E39" s="8" t="s">
        <v>37</v>
      </c>
      <c r="F39" s="178">
        <v>0</v>
      </c>
      <c r="G39" s="86">
        <v>480000</v>
      </c>
    </row>
    <row r="40" spans="5:7" s="61" customFormat="1" ht="15" customHeight="1">
      <c r="E40" s="182" t="s">
        <v>38</v>
      </c>
      <c r="F40" s="179">
        <f>SUM(F36:F39)</f>
        <v>152566.94999999995</v>
      </c>
      <c r="G40" s="86"/>
    </row>
    <row r="41" spans="5:7" s="61" customFormat="1" ht="15" customHeight="1">
      <c r="E41" s="183"/>
      <c r="F41" s="174"/>
      <c r="G41" s="86"/>
    </row>
    <row r="42" spans="5:7" s="61" customFormat="1" ht="15" customHeight="1">
      <c r="E42" s="114" t="s">
        <v>146</v>
      </c>
      <c r="F42" s="94">
        <v>85000</v>
      </c>
      <c r="G42" s="9"/>
    </row>
    <row r="43" spans="5:7" s="61" customFormat="1" ht="15" customHeight="1">
      <c r="E43" s="113" t="s">
        <v>137</v>
      </c>
      <c r="F43" s="154">
        <v>1500000</v>
      </c>
      <c r="G43" s="9"/>
    </row>
    <row r="44" spans="5:7" s="61" customFormat="1" ht="15" customHeight="1">
      <c r="E44" s="114" t="s">
        <v>138</v>
      </c>
      <c r="F44" s="94">
        <v>80000</v>
      </c>
      <c r="G44" s="8"/>
    </row>
    <row r="45" spans="5:7" s="61" customFormat="1" ht="15" customHeight="1">
      <c r="E45" s="114" t="s">
        <v>139</v>
      </c>
      <c r="F45" s="94">
        <v>75000</v>
      </c>
      <c r="G45" s="8"/>
    </row>
    <row r="46" spans="5:7" s="61" customFormat="1" ht="15" customHeight="1">
      <c r="E46" s="114" t="s">
        <v>81</v>
      </c>
      <c r="F46" s="94">
        <v>357594</v>
      </c>
      <c r="G46" s="8"/>
    </row>
    <row r="47" spans="5:7" s="61" customFormat="1" ht="15" customHeight="1">
      <c r="E47" s="114" t="s">
        <v>105</v>
      </c>
      <c r="F47" s="94">
        <v>50000</v>
      </c>
      <c r="G47" s="8"/>
    </row>
    <row r="48" spans="5:7" s="61" customFormat="1" ht="15" customHeight="1">
      <c r="E48" s="116" t="s">
        <v>24</v>
      </c>
      <c r="F48" s="117">
        <f>65000+15000+100000+230000</f>
        <v>410000</v>
      </c>
      <c r="G48" s="8"/>
    </row>
    <row r="49" spans="5:7" s="61" customFormat="1" ht="15" customHeight="1">
      <c r="E49" s="116" t="s">
        <v>39</v>
      </c>
      <c r="F49" s="117">
        <v>2000</v>
      </c>
      <c r="G49" s="174">
        <v>134250.92000000001</v>
      </c>
    </row>
    <row r="50" spans="5:7" s="61" customFormat="1" ht="15" customHeight="1">
      <c r="E50" s="116" t="s">
        <v>22</v>
      </c>
      <c r="F50" s="117">
        <f>45000-7000</f>
        <v>38000</v>
      </c>
      <c r="G50" s="8"/>
    </row>
    <row r="51" spans="5:7" s="61" customFormat="1" ht="15" customHeight="1">
      <c r="E51" s="116" t="s">
        <v>69</v>
      </c>
      <c r="F51" s="117">
        <v>60000</v>
      </c>
      <c r="G51" s="8"/>
    </row>
    <row r="52" spans="5:7" s="61" customFormat="1" ht="15" customHeight="1">
      <c r="E52" s="116" t="s">
        <v>40</v>
      </c>
      <c r="F52" s="94">
        <f>100000-20000</f>
        <v>80000</v>
      </c>
      <c r="G52" s="8"/>
    </row>
    <row r="53" spans="5:7" s="61" customFormat="1" ht="15" customHeight="1">
      <c r="E53" s="116" t="s">
        <v>136</v>
      </c>
      <c r="F53" s="94">
        <v>700576.31191780814</v>
      </c>
      <c r="G53" s="8"/>
    </row>
    <row r="54" spans="5:7" s="61" customFormat="1">
      <c r="E54" s="116" t="s">
        <v>145</v>
      </c>
      <c r="F54" s="94">
        <v>134250.92000000001</v>
      </c>
      <c r="G54" s="8"/>
    </row>
    <row r="55" spans="5:7" s="61" customFormat="1">
      <c r="E55" s="118" t="s">
        <v>41</v>
      </c>
      <c r="F55" s="119">
        <f>SUM(F42:F54)</f>
        <v>3572421.2319178078</v>
      </c>
      <c r="G55" s="8"/>
    </row>
    <row r="56" spans="5:7" s="61" customFormat="1">
      <c r="E56" s="118" t="s">
        <v>42</v>
      </c>
      <c r="F56" s="119">
        <f>F40-F55</f>
        <v>-3419854.2819178076</v>
      </c>
      <c r="G56" s="8"/>
    </row>
    <row r="57" spans="5:7" s="61" customFormat="1">
      <c r="E57" s="82"/>
      <c r="F57" s="80"/>
      <c r="G57" s="8"/>
    </row>
    <row r="58" spans="5:7" s="61" customFormat="1">
      <c r="E58" s="82" t="s">
        <v>43</v>
      </c>
      <c r="F58" s="80">
        <f>43800+180000</f>
        <v>223800</v>
      </c>
      <c r="G58" s="8"/>
    </row>
    <row r="59" spans="5:7" s="61" customFormat="1">
      <c r="E59" s="82" t="s">
        <v>44</v>
      </c>
      <c r="F59" s="80">
        <f>100000+350000-20000-40000</f>
        <v>390000</v>
      </c>
      <c r="G59" s="8"/>
    </row>
    <row r="60" spans="5:7" s="61" customFormat="1">
      <c r="E60" s="82" t="s">
        <v>91</v>
      </c>
      <c r="F60" s="117">
        <v>497203.18</v>
      </c>
      <c r="G60" s="8"/>
    </row>
    <row r="61" spans="5:7" s="61" customFormat="1">
      <c r="E61" s="118" t="s">
        <v>46</v>
      </c>
      <c r="F61" s="120">
        <f>SUM(F58:F60)</f>
        <v>1111003.18</v>
      </c>
      <c r="G61" s="82"/>
    </row>
    <row r="62" spans="5:7" s="61" customFormat="1">
      <c r="E62" s="82"/>
      <c r="F62" s="80"/>
      <c r="G62" s="82"/>
    </row>
    <row r="63" spans="5:7" s="61" customFormat="1">
      <c r="E63" s="118" t="s">
        <v>47</v>
      </c>
      <c r="F63" s="120">
        <f>F56-F61</f>
        <v>-4530857.4619178073</v>
      </c>
      <c r="G63" s="82"/>
    </row>
  </sheetData>
  <mergeCells count="23">
    <mergeCell ref="E10:F10"/>
    <mergeCell ref="B12:E12"/>
    <mergeCell ref="B14:D14"/>
    <mergeCell ref="G14:K14"/>
    <mergeCell ref="B15:D15"/>
    <mergeCell ref="G15:H15"/>
    <mergeCell ref="J15:K15"/>
    <mergeCell ref="G24:K24"/>
    <mergeCell ref="B26:D26"/>
    <mergeCell ref="B27:D27"/>
    <mergeCell ref="G26:H26"/>
    <mergeCell ref="B16:D16"/>
    <mergeCell ref="B17:D17"/>
    <mergeCell ref="B18:D18"/>
    <mergeCell ref="B19:D19"/>
    <mergeCell ref="B21:D21"/>
    <mergeCell ref="G20:H20"/>
    <mergeCell ref="B28:D28"/>
    <mergeCell ref="B29:D29"/>
    <mergeCell ref="B30:D30"/>
    <mergeCell ref="B22:D22"/>
    <mergeCell ref="B24:D24"/>
    <mergeCell ref="B25:D25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3FE38-8A20-4A75-BF5A-A2824F33DDC1}">
  <dimension ref="B6:P68"/>
  <sheetViews>
    <sheetView showGridLines="0" topLeftCell="A6" workbookViewId="0">
      <selection activeCell="A6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79" customWidth="1"/>
    <col min="7" max="7" width="15.7265625" customWidth="1"/>
    <col min="8" max="8" width="19.7265625" customWidth="1"/>
    <col min="9" max="9" width="1.453125" customWidth="1"/>
    <col min="10" max="10" width="24.26953125" customWidth="1"/>
    <col min="11" max="11" width="22.26953125" bestFit="1" customWidth="1"/>
    <col min="12" max="12" width="20.26953125" bestFit="1" customWidth="1"/>
    <col min="13" max="13" width="16.269531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3" s="8" customFormat="1" ht="18">
      <c r="B6" s="5"/>
      <c r="C6" s="5"/>
      <c r="D6" s="5"/>
      <c r="E6" s="6" t="s">
        <v>0</v>
      </c>
      <c r="F6" s="7"/>
      <c r="G6" s="5"/>
      <c r="H6" s="5"/>
      <c r="I6" s="5"/>
      <c r="J6" s="5"/>
      <c r="K6" s="5"/>
    </row>
    <row r="7" spans="2:13">
      <c r="B7" s="1"/>
      <c r="C7" s="1"/>
      <c r="D7" s="1"/>
      <c r="E7" s="1"/>
      <c r="F7" s="2"/>
      <c r="G7" s="1"/>
      <c r="H7" s="1"/>
      <c r="I7" s="1"/>
      <c r="J7" s="1"/>
      <c r="K7" s="1"/>
    </row>
    <row r="8" spans="2:13">
      <c r="B8" s="1"/>
      <c r="C8" s="1"/>
      <c r="D8" s="1"/>
      <c r="E8" s="1"/>
      <c r="F8" s="2"/>
      <c r="G8" s="1"/>
      <c r="H8" s="1"/>
      <c r="I8" s="4"/>
      <c r="J8" s="1"/>
      <c r="K8" s="1"/>
    </row>
    <row r="9" spans="2:13">
      <c r="B9" s="1"/>
      <c r="C9" s="1"/>
      <c r="D9" s="1"/>
      <c r="E9" s="1"/>
      <c r="F9" s="2"/>
      <c r="G9" s="1"/>
      <c r="H9" s="1"/>
      <c r="I9" s="4"/>
      <c r="J9" s="1"/>
      <c r="K9" s="1"/>
    </row>
    <row r="10" spans="2:13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3" ht="15" thickBot="1">
      <c r="B11" s="1"/>
      <c r="C11" s="1"/>
      <c r="D11" s="1"/>
      <c r="E11" s="1"/>
      <c r="F11" s="2"/>
      <c r="G11" s="1"/>
      <c r="H11" s="1"/>
      <c r="I11" s="1"/>
      <c r="J11" s="1"/>
      <c r="K11" s="1"/>
    </row>
    <row r="12" spans="2:13" ht="18" thickBot="1">
      <c r="B12" s="331" t="s">
        <v>2</v>
      </c>
      <c r="C12" s="332"/>
      <c r="D12" s="332"/>
      <c r="E12" s="333"/>
      <c r="F12" s="12"/>
      <c r="G12" s="1"/>
      <c r="H12" s="1"/>
      <c r="I12" s="1"/>
      <c r="J12" s="1"/>
      <c r="K12" s="1"/>
      <c r="L12" s="13"/>
      <c r="M12" t="s">
        <v>20</v>
      </c>
    </row>
    <row r="13" spans="2:13" ht="18" thickBot="1">
      <c r="B13" s="1"/>
      <c r="C13" s="1"/>
      <c r="D13" s="1"/>
      <c r="E13" s="1"/>
      <c r="F13" s="123"/>
      <c r="G13" s="11"/>
      <c r="H13" s="11"/>
      <c r="I13" s="11"/>
      <c r="J13" s="15"/>
      <c r="K13" s="16"/>
      <c r="L13" s="13"/>
    </row>
    <row r="14" spans="2:13" ht="15" thickBot="1">
      <c r="B14" s="334" t="s">
        <v>3</v>
      </c>
      <c r="C14" s="335"/>
      <c r="D14" s="336"/>
      <c r="E14" s="17">
        <f>SUM(E15:E17)</f>
        <v>7457234.1099999994</v>
      </c>
      <c r="F14" s="107"/>
      <c r="G14" s="331" t="s">
        <v>4</v>
      </c>
      <c r="H14" s="332"/>
      <c r="I14" s="332"/>
      <c r="J14" s="332"/>
      <c r="K14" s="333"/>
      <c r="L14" s="19"/>
    </row>
    <row r="15" spans="2:13">
      <c r="B15" s="337" t="s">
        <v>5</v>
      </c>
      <c r="C15" s="338"/>
      <c r="D15" s="339"/>
      <c r="E15" s="20">
        <f>J16+J17+J18+J19</f>
        <v>7368238.8799999999</v>
      </c>
      <c r="F15" s="108">
        <f>E15+E16+E17</f>
        <v>7457234.1099999994</v>
      </c>
      <c r="G15" s="340" t="s">
        <v>6</v>
      </c>
      <c r="H15" s="341"/>
      <c r="I15" s="21"/>
      <c r="J15" s="342" t="s">
        <v>5</v>
      </c>
      <c r="K15" s="343"/>
      <c r="L15" s="13"/>
    </row>
    <row r="16" spans="2:13">
      <c r="B16" s="349" t="s">
        <v>7</v>
      </c>
      <c r="C16" s="350"/>
      <c r="D16" s="351"/>
      <c r="E16" s="20">
        <f>G21+G22</f>
        <v>30409.35</v>
      </c>
      <c r="F16" s="108">
        <v>90000</v>
      </c>
      <c r="G16" s="22">
        <v>12592.59</v>
      </c>
      <c r="H16" s="23" t="s">
        <v>8</v>
      </c>
      <c r="I16" s="24"/>
      <c r="J16" s="25">
        <v>85007.6</v>
      </c>
      <c r="K16" s="26" t="s">
        <v>9</v>
      </c>
      <c r="L16" s="13"/>
    </row>
    <row r="17" spans="2:14">
      <c r="B17" s="352" t="s">
        <v>6</v>
      </c>
      <c r="C17" s="353"/>
      <c r="D17" s="354"/>
      <c r="E17" s="28">
        <f>G16+G17+G18</f>
        <v>58585.88</v>
      </c>
      <c r="F17" s="108">
        <f>F15-F16</f>
        <v>7367234.1099999994</v>
      </c>
      <c r="G17" s="22">
        <v>33305.42</v>
      </c>
      <c r="H17" s="29" t="s">
        <v>10</v>
      </c>
      <c r="I17" s="30"/>
      <c r="J17" s="25">
        <v>397054.71</v>
      </c>
      <c r="K17" s="31" t="s">
        <v>10</v>
      </c>
      <c r="L17" s="13"/>
    </row>
    <row r="18" spans="2:14">
      <c r="B18" s="355" t="s">
        <v>11</v>
      </c>
      <c r="C18" s="356"/>
      <c r="D18" s="357"/>
      <c r="E18" s="20">
        <f>G28+G30+G29+G27</f>
        <v>154687.99</v>
      </c>
      <c r="F18" s="109"/>
      <c r="G18" s="22">
        <v>12687.87</v>
      </c>
      <c r="H18" s="29" t="s">
        <v>12</v>
      </c>
      <c r="I18" s="30"/>
      <c r="J18" s="25">
        <v>6765767.7699999996</v>
      </c>
      <c r="K18" s="31" t="s">
        <v>12</v>
      </c>
      <c r="L18" s="32"/>
    </row>
    <row r="19" spans="2:14">
      <c r="B19" s="344" t="s">
        <v>13</v>
      </c>
      <c r="C19" s="345"/>
      <c r="D19" s="346"/>
      <c r="E19" s="20">
        <f>21520018.85-E20</f>
        <v>14105156.070000002</v>
      </c>
      <c r="F19" s="108"/>
      <c r="G19" s="33"/>
      <c r="H19" s="34"/>
      <c r="I19" s="30"/>
      <c r="J19" s="25">
        <v>120408.8</v>
      </c>
      <c r="K19" s="31" t="s">
        <v>14</v>
      </c>
      <c r="L19" s="13"/>
    </row>
    <row r="20" spans="2:14">
      <c r="B20" s="358" t="s">
        <v>15</v>
      </c>
      <c r="C20" s="359"/>
      <c r="D20" s="360"/>
      <c r="E20" s="35">
        <f>SUM(E21:E30)</f>
        <v>7414862.7799999993</v>
      </c>
      <c r="F20" s="14"/>
      <c r="G20" s="361" t="s">
        <v>16</v>
      </c>
      <c r="H20" s="362"/>
      <c r="I20" s="36"/>
      <c r="J20" s="37"/>
      <c r="K20" s="38"/>
      <c r="L20" s="39"/>
    </row>
    <row r="21" spans="2:14">
      <c r="B21" s="40"/>
      <c r="C21" s="41"/>
      <c r="D21" s="122" t="s">
        <v>56</v>
      </c>
      <c r="E21" s="43">
        <v>7403.42</v>
      </c>
      <c r="F21" s="14"/>
      <c r="G21" s="44">
        <v>18441.96</v>
      </c>
      <c r="H21" s="29" t="s">
        <v>10</v>
      </c>
      <c r="I21" s="30"/>
      <c r="J21" s="37"/>
      <c r="K21" s="45"/>
      <c r="L21" s="39"/>
    </row>
    <row r="22" spans="2:14">
      <c r="B22" s="40"/>
      <c r="C22" s="41"/>
      <c r="D22" s="122" t="s">
        <v>57</v>
      </c>
      <c r="E22" s="43">
        <v>1624</v>
      </c>
      <c r="F22" s="14"/>
      <c r="G22" s="44">
        <v>11967.39</v>
      </c>
      <c r="H22" s="29" t="s">
        <v>18</v>
      </c>
      <c r="I22" s="30"/>
      <c r="J22" s="50"/>
      <c r="K22" s="38"/>
      <c r="L22" s="39"/>
    </row>
    <row r="23" spans="2:14" ht="15" thickBot="1">
      <c r="B23" s="40"/>
      <c r="C23" s="41"/>
      <c r="D23" s="122" t="s">
        <v>60</v>
      </c>
      <c r="E23" s="43">
        <v>107093.18</v>
      </c>
      <c r="F23" s="14"/>
      <c r="G23" s="51"/>
      <c r="H23" s="34"/>
      <c r="I23" s="30"/>
      <c r="J23" s="52"/>
      <c r="K23" s="53"/>
      <c r="L23" s="39"/>
      <c r="N23" t="s">
        <v>20</v>
      </c>
    </row>
    <row r="24" spans="2:14" ht="15" thickBot="1">
      <c r="B24" s="40"/>
      <c r="C24" s="41"/>
      <c r="D24" s="122" t="s">
        <v>61</v>
      </c>
      <c r="E24" s="43">
        <v>392380.4</v>
      </c>
      <c r="F24" s="14"/>
      <c r="G24" s="331" t="s">
        <v>21</v>
      </c>
      <c r="H24" s="332"/>
      <c r="I24" s="332"/>
      <c r="J24" s="332"/>
      <c r="K24" s="333"/>
      <c r="L24" s="39"/>
    </row>
    <row r="25" spans="2:14">
      <c r="B25" s="40"/>
      <c r="C25" s="41"/>
      <c r="D25" s="122" t="s">
        <v>61</v>
      </c>
      <c r="E25" s="43">
        <v>241063.2</v>
      </c>
      <c r="F25" s="14"/>
      <c r="G25" s="54"/>
      <c r="H25" s="55"/>
      <c r="I25" s="56"/>
      <c r="J25" s="57"/>
      <c r="K25" s="58"/>
      <c r="L25" s="39"/>
    </row>
    <row r="26" spans="2:14">
      <c r="B26" s="40"/>
      <c r="C26" s="41"/>
      <c r="D26" s="122" t="s">
        <v>62</v>
      </c>
      <c r="E26" s="43">
        <v>1856</v>
      </c>
      <c r="F26" s="14"/>
      <c r="G26" s="347" t="s">
        <v>5</v>
      </c>
      <c r="H26" s="348"/>
      <c r="I26" s="59"/>
      <c r="J26" s="60"/>
      <c r="K26" s="45"/>
      <c r="L26" s="61"/>
    </row>
    <row r="27" spans="2:14">
      <c r="B27" s="40"/>
      <c r="C27" s="41"/>
      <c r="D27" s="122" t="s">
        <v>61</v>
      </c>
      <c r="E27" s="43">
        <v>8768.35</v>
      </c>
      <c r="F27" s="14"/>
      <c r="G27" s="22">
        <f>11530.43-11500</f>
        <v>30.430000000000291</v>
      </c>
      <c r="H27" s="62" t="s">
        <v>9</v>
      </c>
      <c r="I27" s="59"/>
      <c r="J27" s="60"/>
      <c r="K27" s="45"/>
      <c r="L27" s="61"/>
    </row>
    <row r="28" spans="2:14">
      <c r="B28" s="40"/>
      <c r="C28" s="41"/>
      <c r="D28" s="122" t="s">
        <v>60</v>
      </c>
      <c r="E28" s="43">
        <v>57314.16</v>
      </c>
      <c r="F28" s="14"/>
      <c r="G28" s="22">
        <v>37013.120000000003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4">
      <c r="B29" s="40"/>
      <c r="C29" s="41"/>
      <c r="D29" s="122" t="s">
        <v>60</v>
      </c>
      <c r="E29" s="43">
        <v>71452.100000000006</v>
      </c>
      <c r="F29" s="14"/>
      <c r="G29" s="67">
        <v>1258.74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4" ht="15" thickBot="1">
      <c r="B30" s="40"/>
      <c r="C30" s="41"/>
      <c r="D30" s="42" t="s">
        <v>63</v>
      </c>
      <c r="E30" s="43">
        <v>6525907.9699999997</v>
      </c>
      <c r="F30" s="14"/>
      <c r="G30" s="71">
        <v>116385.7</v>
      </c>
      <c r="H30" s="72" t="s">
        <v>12</v>
      </c>
      <c r="I30" s="73"/>
      <c r="J30" s="74" t="s">
        <v>32</v>
      </c>
      <c r="K30" s="75" t="s">
        <v>33</v>
      </c>
      <c r="L30" s="61"/>
    </row>
    <row r="31" spans="2:14">
      <c r="B31" s="46" t="s">
        <v>17</v>
      </c>
      <c r="C31" s="47"/>
      <c r="D31" s="48"/>
      <c r="E31" s="49">
        <v>96098.65</v>
      </c>
      <c r="F31" s="14"/>
      <c r="G31" s="76"/>
      <c r="H31" s="76"/>
      <c r="I31" s="76"/>
      <c r="J31" s="76"/>
      <c r="K31" s="1"/>
      <c r="L31" s="77"/>
    </row>
    <row r="32" spans="2:14">
      <c r="B32" s="366" t="s">
        <v>58</v>
      </c>
      <c r="C32" s="367"/>
      <c r="D32" s="368"/>
      <c r="E32" s="49">
        <v>11336.6</v>
      </c>
      <c r="F32" s="8"/>
    </row>
    <row r="33" spans="2:11">
      <c r="B33" s="344" t="s">
        <v>59</v>
      </c>
      <c r="C33" s="345"/>
      <c r="D33" s="346"/>
      <c r="E33" s="49">
        <v>0</v>
      </c>
      <c r="F33" s="8"/>
    </row>
    <row r="34" spans="2:11">
      <c r="B34" s="344" t="s">
        <v>22</v>
      </c>
      <c r="C34" s="345"/>
      <c r="D34" s="346"/>
      <c r="E34" s="49">
        <v>0</v>
      </c>
      <c r="F34" s="9">
        <v>0</v>
      </c>
    </row>
    <row r="35" spans="2:11">
      <c r="B35" s="344" t="s">
        <v>52</v>
      </c>
      <c r="C35" s="345"/>
      <c r="D35" s="346"/>
      <c r="E35" s="49">
        <v>34044.94</v>
      </c>
      <c r="F35" s="14">
        <v>35000</v>
      </c>
      <c r="H35" s="61"/>
      <c r="I35" s="61"/>
      <c r="J35" s="61"/>
      <c r="K35" s="61"/>
    </row>
    <row r="36" spans="2:11">
      <c r="B36" s="344" t="s">
        <v>24</v>
      </c>
      <c r="C36" s="345"/>
      <c r="D36" s="346"/>
      <c r="E36" s="49">
        <v>0</v>
      </c>
      <c r="F36" s="14">
        <v>1000</v>
      </c>
      <c r="H36" s="61"/>
      <c r="I36" s="61"/>
      <c r="J36" s="61"/>
      <c r="K36" s="61"/>
    </row>
    <row r="37" spans="2:11">
      <c r="B37" s="344" t="s">
        <v>25</v>
      </c>
      <c r="C37" s="345"/>
      <c r="D37" s="346"/>
      <c r="E37" s="49">
        <v>0</v>
      </c>
      <c r="F37" s="14">
        <v>115000</v>
      </c>
      <c r="H37" s="61"/>
      <c r="I37" s="61"/>
      <c r="J37" s="61"/>
      <c r="K37" s="61"/>
    </row>
    <row r="38" spans="2:11" s="61" customFormat="1" ht="15" customHeight="1" thickBot="1">
      <c r="B38" s="363" t="s">
        <v>29</v>
      </c>
      <c r="C38" s="364"/>
      <c r="D38" s="365"/>
      <c r="E38" s="66">
        <v>0</v>
      </c>
      <c r="F38" s="14">
        <f>SUM(F34:F37)</f>
        <v>151000</v>
      </c>
      <c r="G38" s="8"/>
      <c r="H38" s="98"/>
      <c r="J38" s="105"/>
      <c r="K38" s="106"/>
    </row>
    <row r="39" spans="2:11" s="61" customFormat="1" ht="15" customHeight="1">
      <c r="B39" s="69"/>
      <c r="C39" s="69"/>
      <c r="D39" s="70"/>
      <c r="E39" s="101"/>
      <c r="F39" s="8"/>
      <c r="G39" s="86"/>
      <c r="H39" s="98"/>
      <c r="I39" s="98"/>
      <c r="K39" s="39"/>
    </row>
    <row r="40" spans="2:11" s="61" customFormat="1" ht="15" customHeight="1">
      <c r="B40"/>
      <c r="C40"/>
      <c r="D40"/>
      <c r="E40" s="79"/>
      <c r="F40" s="8"/>
      <c r="G40" s="86"/>
      <c r="H40" s="98"/>
      <c r="I40" s="98"/>
      <c r="K40" s="13"/>
    </row>
    <row r="41" spans="2:11" s="61" customFormat="1" ht="15" customHeight="1">
      <c r="B41"/>
      <c r="C41"/>
      <c r="D41"/>
      <c r="E41" s="79"/>
      <c r="F41" s="8"/>
      <c r="G41" s="86"/>
      <c r="H41" s="81"/>
      <c r="I41" s="8"/>
      <c r="J41" s="9"/>
      <c r="K41" s="84"/>
    </row>
    <row r="42" spans="2:11" s="61" customFormat="1" ht="15" customHeight="1">
      <c r="D42" s="83"/>
      <c r="E42" s="110" t="s">
        <v>48</v>
      </c>
      <c r="F42" s="110"/>
      <c r="G42" s="9"/>
      <c r="H42" s="81"/>
      <c r="I42" s="8"/>
      <c r="J42" s="9"/>
      <c r="K42" s="8"/>
    </row>
    <row r="43" spans="2:11" s="61" customFormat="1" ht="15" customHeight="1">
      <c r="D43" s="83"/>
      <c r="E43" s="110"/>
      <c r="F43" s="110"/>
      <c r="G43" s="9"/>
      <c r="H43" s="81"/>
      <c r="I43" s="8"/>
      <c r="J43" s="9"/>
      <c r="K43" s="8"/>
    </row>
    <row r="44" spans="2:11" s="61" customFormat="1" ht="15" customHeight="1">
      <c r="D44" s="83"/>
      <c r="E44" s="82" t="s">
        <v>34</v>
      </c>
      <c r="F44" s="86">
        <f>F17</f>
        <v>7367234.1099999994</v>
      </c>
      <c r="G44" s="9"/>
      <c r="H44" s="81"/>
      <c r="I44" s="8"/>
      <c r="J44" s="9"/>
      <c r="K44" s="8"/>
    </row>
    <row r="45" spans="2:11" s="61" customFormat="1" ht="15" customHeight="1">
      <c r="D45" s="83"/>
      <c r="E45" s="82" t="s">
        <v>35</v>
      </c>
      <c r="F45" s="86">
        <f>+F38</f>
        <v>151000</v>
      </c>
      <c r="G45" s="94">
        <v>810000</v>
      </c>
      <c r="H45" s="81"/>
      <c r="I45" s="8"/>
      <c r="J45" s="9"/>
      <c r="K45" s="8"/>
    </row>
    <row r="46" spans="2:11" s="61" customFormat="1" ht="15" customHeight="1">
      <c r="D46" s="83"/>
      <c r="E46" s="82" t="s">
        <v>36</v>
      </c>
      <c r="F46" s="86">
        <v>0</v>
      </c>
      <c r="G46" s="9"/>
      <c r="H46" s="80"/>
      <c r="I46" s="8"/>
      <c r="J46" s="8"/>
      <c r="K46" s="8"/>
    </row>
    <row r="47" spans="2:11" s="61" customFormat="1" ht="15" customHeight="1">
      <c r="D47" s="83"/>
      <c r="E47" s="82" t="s">
        <v>37</v>
      </c>
      <c r="F47" s="86">
        <v>0</v>
      </c>
      <c r="G47" s="9"/>
      <c r="H47" s="82"/>
      <c r="I47" s="8"/>
      <c r="J47" s="8"/>
      <c r="K47" s="8"/>
    </row>
    <row r="48" spans="2:11" s="61" customFormat="1" ht="15" customHeight="1">
      <c r="D48" s="83"/>
      <c r="E48" s="112" t="s">
        <v>38</v>
      </c>
      <c r="F48" s="111">
        <f>SUM(F44:F47)</f>
        <v>7518234.1099999994</v>
      </c>
      <c r="G48" s="9"/>
      <c r="H48" s="82"/>
      <c r="I48" s="8"/>
      <c r="J48" s="8"/>
      <c r="K48" s="8"/>
    </row>
    <row r="50" spans="5:6" s="61" customFormat="1" ht="15" customHeight="1">
      <c r="E50" s="114" t="s">
        <v>49</v>
      </c>
      <c r="F50" s="94">
        <v>75000</v>
      </c>
    </row>
    <row r="51" spans="5:6" s="61" customFormat="1" ht="15" customHeight="1">
      <c r="E51" s="113" t="s">
        <v>51</v>
      </c>
      <c r="F51" s="94">
        <v>0</v>
      </c>
    </row>
    <row r="52" spans="5:6" s="61" customFormat="1" ht="15" customHeight="1">
      <c r="E52" s="115" t="s">
        <v>53</v>
      </c>
      <c r="F52" s="94">
        <v>0</v>
      </c>
    </row>
    <row r="53" spans="5:6" s="61" customFormat="1" ht="15" customHeight="1">
      <c r="E53" s="116" t="s">
        <v>24</v>
      </c>
      <c r="F53" s="117">
        <v>0</v>
      </c>
    </row>
    <row r="54" spans="5:6" s="61" customFormat="1" ht="15" customHeight="1">
      <c r="E54" s="116" t="s">
        <v>39</v>
      </c>
      <c r="F54" s="117">
        <v>2000</v>
      </c>
    </row>
    <row r="55" spans="5:6" s="61" customFormat="1">
      <c r="E55" s="116" t="s">
        <v>22</v>
      </c>
      <c r="F55" s="117">
        <f>70000-45000</f>
        <v>25000</v>
      </c>
    </row>
    <row r="56" spans="5:6" s="61" customFormat="1">
      <c r="E56" s="116" t="s">
        <v>52</v>
      </c>
      <c r="F56" s="117">
        <v>32000</v>
      </c>
    </row>
    <row r="57" spans="5:6" s="61" customFormat="1">
      <c r="E57" s="116" t="s">
        <v>54</v>
      </c>
      <c r="F57" s="117">
        <v>650000</v>
      </c>
    </row>
    <row r="58" spans="5:6" s="61" customFormat="1">
      <c r="E58" s="116" t="s">
        <v>55</v>
      </c>
      <c r="F58" s="117">
        <v>290000</v>
      </c>
    </row>
    <row r="59" spans="5:6" s="61" customFormat="1">
      <c r="E59" s="116" t="s">
        <v>40</v>
      </c>
      <c r="F59" s="94">
        <f>170000-15000-55000</f>
        <v>100000</v>
      </c>
    </row>
    <row r="60" spans="5:6" s="61" customFormat="1">
      <c r="E60" s="118" t="s">
        <v>41</v>
      </c>
      <c r="F60" s="119">
        <f>SUM(F50:F59)</f>
        <v>1174000</v>
      </c>
    </row>
    <row r="61" spans="5:6" s="61" customFormat="1">
      <c r="E61" s="118" t="s">
        <v>42</v>
      </c>
      <c r="F61" s="119">
        <f>F48-F60</f>
        <v>6344234.1099999994</v>
      </c>
    </row>
    <row r="62" spans="5:6" s="61" customFormat="1">
      <c r="E62" s="82"/>
      <c r="F62" s="82"/>
    </row>
    <row r="63" spans="5:6" s="61" customFormat="1">
      <c r="E63" s="82" t="s">
        <v>43</v>
      </c>
      <c r="F63" s="81">
        <f>43800+180000</f>
        <v>223800</v>
      </c>
    </row>
    <row r="64" spans="5:6" s="61" customFormat="1">
      <c r="E64" s="82" t="s">
        <v>44</v>
      </c>
      <c r="F64" s="81">
        <v>700000</v>
      </c>
    </row>
    <row r="65" spans="5:6" s="61" customFormat="1">
      <c r="E65" s="82" t="s">
        <v>45</v>
      </c>
      <c r="F65" s="117">
        <v>0</v>
      </c>
    </row>
    <row r="66" spans="5:6" s="61" customFormat="1">
      <c r="E66" s="118" t="s">
        <v>46</v>
      </c>
      <c r="F66" s="120">
        <f>SUM(F63:F65)</f>
        <v>923800</v>
      </c>
    </row>
    <row r="67" spans="5:6">
      <c r="E67" s="82"/>
      <c r="F67" s="82"/>
    </row>
    <row r="68" spans="5:6">
      <c r="E68" s="118" t="s">
        <v>47</v>
      </c>
      <c r="F68" s="121">
        <f>F61-F66</f>
        <v>5420434.1099999994</v>
      </c>
    </row>
  </sheetData>
  <mergeCells count="22"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  <mergeCell ref="B36:D36"/>
    <mergeCell ref="B37:D37"/>
    <mergeCell ref="B38:D38"/>
    <mergeCell ref="G24:K24"/>
    <mergeCell ref="B32:D32"/>
    <mergeCell ref="B33:D33"/>
    <mergeCell ref="G26:H26"/>
    <mergeCell ref="B34:D34"/>
    <mergeCell ref="B35:D35"/>
  </mergeCells>
  <pageMargins left="0.7" right="0.7" top="0.75" bottom="0.75" header="0.3" footer="0.3"/>
  <drawing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E1EE0-25B6-498C-BFEF-411366C92B53}">
  <dimension ref="B6:P63"/>
  <sheetViews>
    <sheetView showGridLines="0" topLeftCell="A14" workbookViewId="0">
      <selection activeCell="A14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8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9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3786573.95</v>
      </c>
      <c r="F14" s="148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3725291.3200000003</v>
      </c>
      <c r="F15" s="153">
        <f>E15+E16+E17</f>
        <v>3786573.95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21916.07</v>
      </c>
      <c r="F16" s="153">
        <v>90000</v>
      </c>
      <c r="G16" s="22">
        <v>9639.39</v>
      </c>
      <c r="H16" s="23" t="s">
        <v>8</v>
      </c>
      <c r="I16" s="24"/>
      <c r="J16" s="25">
        <v>5134.97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39366.559999999998</v>
      </c>
      <c r="F17" s="153">
        <f>F15-F16</f>
        <v>3696573.95</v>
      </c>
      <c r="G17" s="22">
        <v>9950.2900000000009</v>
      </c>
      <c r="H17" s="29" t="s">
        <v>10</v>
      </c>
      <c r="I17" s="30"/>
      <c r="J17" s="25">
        <v>14159.34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5794.3199999999988</v>
      </c>
      <c r="F18" s="153"/>
      <c r="G18" s="22">
        <v>19776.88</v>
      </c>
      <c r="H18" s="29" t="s">
        <v>12</v>
      </c>
      <c r="I18" s="30"/>
      <c r="J18" s="25">
        <v>3684070.04</v>
      </c>
      <c r="K18" s="31" t="s">
        <v>12</v>
      </c>
    </row>
    <row r="19" spans="2:11">
      <c r="B19" s="344" t="s">
        <v>13</v>
      </c>
      <c r="C19" s="345"/>
      <c r="D19" s="346"/>
      <c r="E19" s="20">
        <v>15584232.91</v>
      </c>
      <c r="F19" s="153"/>
      <c r="G19" s="33"/>
      <c r="H19" s="34"/>
      <c r="I19" s="30"/>
      <c r="J19" s="25">
        <v>21926.97</v>
      </c>
      <c r="K19" s="31" t="s">
        <v>14</v>
      </c>
    </row>
    <row r="20" spans="2:11">
      <c r="B20" s="187" t="s">
        <v>15</v>
      </c>
      <c r="C20" s="188"/>
      <c r="D20" s="189"/>
      <c r="E20" s="190">
        <f>SUM(E21:E22)</f>
        <v>3480</v>
      </c>
      <c r="F20" s="153"/>
      <c r="G20" s="361" t="s">
        <v>16</v>
      </c>
      <c r="H20" s="362"/>
      <c r="I20" s="36"/>
      <c r="J20" s="37"/>
      <c r="K20" s="38"/>
    </row>
    <row r="21" spans="2:11">
      <c r="B21" s="374" t="s">
        <v>61</v>
      </c>
      <c r="C21" s="375"/>
      <c r="D21" s="376"/>
      <c r="E21" s="35">
        <v>3480</v>
      </c>
      <c r="F21" s="154"/>
      <c r="G21" s="44">
        <v>12066.72</v>
      </c>
      <c r="H21" s="29" t="s">
        <v>10</v>
      </c>
      <c r="I21" s="30"/>
      <c r="J21" s="37"/>
      <c r="K21" s="45"/>
    </row>
    <row r="22" spans="2:11">
      <c r="B22" s="371"/>
      <c r="C22" s="372"/>
      <c r="D22" s="373"/>
      <c r="E22" s="43">
        <v>0</v>
      </c>
      <c r="F22" s="154"/>
      <c r="G22" s="44">
        <v>9849.35</v>
      </c>
      <c r="H22" s="29" t="s">
        <v>18</v>
      </c>
      <c r="I22" s="30"/>
      <c r="J22" s="50"/>
      <c r="K22" s="38"/>
    </row>
    <row r="23" spans="2:11" ht="15" thickBot="1">
      <c r="B23" s="46" t="s">
        <v>17</v>
      </c>
      <c r="C23" s="47"/>
      <c r="D23" s="48"/>
      <c r="E23" s="49">
        <v>18430.2</v>
      </c>
      <c r="F23" s="158">
        <f>SUM(E23:E30)</f>
        <v>768430.2</v>
      </c>
      <c r="G23" s="51"/>
      <c r="H23" s="34"/>
      <c r="I23" s="30"/>
      <c r="J23" s="52"/>
      <c r="K23" s="53"/>
    </row>
    <row r="24" spans="2:11" ht="15" thickBot="1">
      <c r="B24" s="366" t="s">
        <v>83</v>
      </c>
      <c r="C24" s="367"/>
      <c r="D24" s="368"/>
      <c r="E24" s="49">
        <v>0</v>
      </c>
      <c r="F24" s="148">
        <f>+F17-F23</f>
        <v>2928143.75</v>
      </c>
      <c r="G24" s="331" t="s">
        <v>21</v>
      </c>
      <c r="H24" s="332"/>
      <c r="I24" s="332"/>
      <c r="J24" s="332"/>
      <c r="K24" s="333"/>
    </row>
    <row r="25" spans="2:11">
      <c r="B25" s="344" t="s">
        <v>78</v>
      </c>
      <c r="C25" s="345"/>
      <c r="D25" s="346"/>
      <c r="E25" s="49">
        <v>0</v>
      </c>
      <c r="F25" s="154"/>
      <c r="G25" s="54"/>
      <c r="H25" s="55"/>
      <c r="I25" s="56"/>
      <c r="J25" s="57"/>
      <c r="K25" s="58"/>
    </row>
    <row r="26" spans="2:11">
      <c r="B26" s="344" t="s">
        <v>144</v>
      </c>
      <c r="C26" s="345"/>
      <c r="D26" s="346"/>
      <c r="E26" s="49">
        <v>360000</v>
      </c>
      <c r="F26" s="148"/>
      <c r="G26" s="347" t="s">
        <v>5</v>
      </c>
      <c r="H26" s="348"/>
      <c r="I26" s="59"/>
      <c r="J26" s="60"/>
      <c r="K26" s="45"/>
    </row>
    <row r="27" spans="2:11">
      <c r="B27" s="344" t="s">
        <v>22</v>
      </c>
      <c r="C27" s="345"/>
      <c r="D27" s="346"/>
      <c r="E27" s="49">
        <v>0</v>
      </c>
      <c r="F27" s="148">
        <v>0</v>
      </c>
      <c r="G27" s="22">
        <f>11658.48-11500</f>
        <v>158.47999999999956</v>
      </c>
      <c r="H27" s="62" t="s">
        <v>9</v>
      </c>
      <c r="I27" s="59"/>
      <c r="J27" s="60"/>
      <c r="K27" s="45"/>
    </row>
    <row r="28" spans="2:11">
      <c r="B28" s="344" t="s">
        <v>24</v>
      </c>
      <c r="C28" s="345"/>
      <c r="D28" s="346"/>
      <c r="E28" s="49">
        <v>330000</v>
      </c>
      <c r="F28" s="148">
        <v>0</v>
      </c>
      <c r="G28" s="22">
        <v>2090.02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344" t="s">
        <v>25</v>
      </c>
      <c r="C29" s="345"/>
      <c r="D29" s="346"/>
      <c r="E29" s="49">
        <v>60000</v>
      </c>
      <c r="F29" s="148">
        <v>0</v>
      </c>
      <c r="G29" s="67">
        <v>1339.86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63" t="s">
        <v>29</v>
      </c>
      <c r="C30" s="364"/>
      <c r="D30" s="365"/>
      <c r="E30" s="66">
        <v>0</v>
      </c>
      <c r="F30" s="154">
        <f>SUM(F26:F29)</f>
        <v>0</v>
      </c>
      <c r="G30" s="71">
        <v>2205.96</v>
      </c>
      <c r="H30" s="72" t="s">
        <v>12</v>
      </c>
      <c r="I30" s="73"/>
      <c r="J30" s="74" t="s">
        <v>32</v>
      </c>
      <c r="K30" s="75" t="s">
        <v>33</v>
      </c>
    </row>
    <row r="34" spans="5:7">
      <c r="E34" s="181" t="s">
        <v>134</v>
      </c>
      <c r="F34" s="178"/>
      <c r="G34" s="8"/>
    </row>
    <row r="35" spans="5:7">
      <c r="E35" s="181"/>
      <c r="F35" s="178"/>
      <c r="G35" s="8"/>
    </row>
    <row r="36" spans="5:7">
      <c r="E36" s="8" t="s">
        <v>34</v>
      </c>
      <c r="F36" s="178">
        <f>F17</f>
        <v>3696573.95</v>
      </c>
      <c r="G36" s="8"/>
    </row>
    <row r="37" spans="5:7">
      <c r="E37" s="8" t="s">
        <v>35</v>
      </c>
      <c r="F37" s="178">
        <f>+F30</f>
        <v>0</v>
      </c>
      <c r="G37" s="8"/>
    </row>
    <row r="38" spans="5:7" s="61" customFormat="1" ht="15" customHeight="1">
      <c r="E38" s="8" t="s">
        <v>36</v>
      </c>
      <c r="F38" s="178">
        <v>0</v>
      </c>
      <c r="G38" s="86">
        <v>1659693.86</v>
      </c>
    </row>
    <row r="39" spans="5:7" s="61" customFormat="1" ht="15" customHeight="1">
      <c r="E39" s="8" t="s">
        <v>37</v>
      </c>
      <c r="F39" s="178">
        <v>0</v>
      </c>
      <c r="G39" s="86">
        <v>480000</v>
      </c>
    </row>
    <row r="40" spans="5:7" s="61" customFormat="1" ht="15" customHeight="1">
      <c r="E40" s="182" t="s">
        <v>38</v>
      </c>
      <c r="F40" s="179">
        <f>SUM(F36:F39)</f>
        <v>3696573.95</v>
      </c>
      <c r="G40" s="86"/>
    </row>
    <row r="41" spans="5:7" s="61" customFormat="1" ht="15" customHeight="1">
      <c r="E41" s="183"/>
      <c r="F41" s="174"/>
      <c r="G41" s="86"/>
    </row>
    <row r="42" spans="5:7" s="61" customFormat="1" ht="15" customHeight="1">
      <c r="E42" s="114" t="s">
        <v>146</v>
      </c>
      <c r="F42" s="94">
        <v>85000</v>
      </c>
      <c r="G42" s="9"/>
    </row>
    <row r="43" spans="5:7" s="61" customFormat="1" ht="15" customHeight="1">
      <c r="E43" s="113" t="s">
        <v>137</v>
      </c>
      <c r="F43" s="154">
        <v>1500000</v>
      </c>
      <c r="G43" s="9"/>
    </row>
    <row r="44" spans="5:7" s="61" customFormat="1" ht="15" customHeight="1">
      <c r="E44" s="114" t="s">
        <v>138</v>
      </c>
      <c r="F44" s="94">
        <v>80000</v>
      </c>
      <c r="G44" s="8"/>
    </row>
    <row r="45" spans="5:7" s="61" customFormat="1" ht="15" customHeight="1">
      <c r="E45" s="114" t="s">
        <v>139</v>
      </c>
      <c r="F45" s="94">
        <v>75000</v>
      </c>
      <c r="G45" s="8"/>
    </row>
    <row r="46" spans="5:7" s="61" customFormat="1" ht="15" customHeight="1">
      <c r="E46" s="114" t="s">
        <v>81</v>
      </c>
      <c r="F46" s="94">
        <v>357594</v>
      </c>
      <c r="G46" s="8"/>
    </row>
    <row r="47" spans="5:7" s="61" customFormat="1" ht="15" customHeight="1">
      <c r="E47" s="114" t="s">
        <v>105</v>
      </c>
      <c r="F47" s="94">
        <v>50000</v>
      </c>
      <c r="G47" s="8"/>
    </row>
    <row r="48" spans="5:7" s="61" customFormat="1" ht="15" customHeight="1">
      <c r="E48" s="116" t="s">
        <v>24</v>
      </c>
      <c r="F48" s="117">
        <v>330000</v>
      </c>
      <c r="G48" s="8"/>
    </row>
    <row r="49" spans="5:7" s="61" customFormat="1" ht="15" customHeight="1">
      <c r="E49" s="116" t="s">
        <v>39</v>
      </c>
      <c r="F49" s="117">
        <v>2000</v>
      </c>
      <c r="G49" s="174">
        <v>134250.92000000001</v>
      </c>
    </row>
    <row r="50" spans="5:7" s="61" customFormat="1" ht="15" customHeight="1">
      <c r="E50" s="116" t="s">
        <v>22</v>
      </c>
      <c r="F50" s="117">
        <f>45000-7000-6000</f>
        <v>32000</v>
      </c>
      <c r="G50" s="8"/>
    </row>
    <row r="51" spans="5:7" s="61" customFormat="1" ht="15" customHeight="1">
      <c r="E51" s="116" t="s">
        <v>69</v>
      </c>
      <c r="F51" s="117">
        <v>60000</v>
      </c>
      <c r="G51" s="8"/>
    </row>
    <row r="52" spans="5:7" s="61" customFormat="1" ht="15" customHeight="1">
      <c r="E52" s="116" t="s">
        <v>40</v>
      </c>
      <c r="F52" s="94">
        <f>100000-20000</f>
        <v>80000</v>
      </c>
      <c r="G52" s="8"/>
    </row>
    <row r="53" spans="5:7" s="61" customFormat="1" ht="15" customHeight="1">
      <c r="E53" s="116" t="s">
        <v>136</v>
      </c>
      <c r="F53" s="94">
        <v>700576.31191780814</v>
      </c>
      <c r="G53" s="8"/>
    </row>
    <row r="54" spans="5:7" s="61" customFormat="1">
      <c r="E54" s="116" t="s">
        <v>145</v>
      </c>
      <c r="F54" s="94">
        <v>134250.92000000001</v>
      </c>
      <c r="G54" s="8"/>
    </row>
    <row r="55" spans="5:7" s="61" customFormat="1">
      <c r="E55" s="118" t="s">
        <v>41</v>
      </c>
      <c r="F55" s="119">
        <f>SUM(F42:F54)</f>
        <v>3486421.2319178078</v>
      </c>
      <c r="G55" s="8"/>
    </row>
    <row r="56" spans="5:7" s="61" customFormat="1">
      <c r="E56" s="118" t="s">
        <v>42</v>
      </c>
      <c r="F56" s="119">
        <f>F40-F55</f>
        <v>210152.71808219235</v>
      </c>
      <c r="G56" s="8"/>
    </row>
    <row r="57" spans="5:7" s="61" customFormat="1">
      <c r="E57" s="82"/>
      <c r="F57" s="80"/>
      <c r="G57" s="8"/>
    </row>
    <row r="58" spans="5:7" s="61" customFormat="1">
      <c r="E58" s="82" t="s">
        <v>43</v>
      </c>
      <c r="F58" s="80">
        <f>43800+180000</f>
        <v>223800</v>
      </c>
      <c r="G58" s="8"/>
    </row>
    <row r="59" spans="5:7" s="61" customFormat="1">
      <c r="E59" s="82" t="s">
        <v>44</v>
      </c>
      <c r="F59" s="80">
        <f>100000+350000-20000-40000</f>
        <v>390000</v>
      </c>
      <c r="G59" s="8"/>
    </row>
    <row r="60" spans="5:7" s="61" customFormat="1">
      <c r="E60" s="82" t="s">
        <v>91</v>
      </c>
      <c r="F60" s="117">
        <v>497517.78</v>
      </c>
      <c r="G60" s="8"/>
    </row>
    <row r="61" spans="5:7" s="61" customFormat="1">
      <c r="E61" s="118" t="s">
        <v>46</v>
      </c>
      <c r="F61" s="120">
        <f>SUM(F58:F60)</f>
        <v>1111317.78</v>
      </c>
      <c r="G61" s="82"/>
    </row>
    <row r="62" spans="5:7" s="61" customFormat="1">
      <c r="E62" s="82"/>
      <c r="F62" s="80"/>
      <c r="G62" s="82"/>
    </row>
    <row r="63" spans="5:7" s="61" customFormat="1">
      <c r="E63" s="118" t="s">
        <v>47</v>
      </c>
      <c r="F63" s="120">
        <f>F56-F61</f>
        <v>-901165.06191780767</v>
      </c>
      <c r="G63" s="82"/>
    </row>
  </sheetData>
  <mergeCells count="23">
    <mergeCell ref="B27:D27"/>
    <mergeCell ref="B28:D28"/>
    <mergeCell ref="B29:D29"/>
    <mergeCell ref="B30:D30"/>
    <mergeCell ref="B22:D22"/>
    <mergeCell ref="B24:D24"/>
    <mergeCell ref="G24:K24"/>
    <mergeCell ref="B25:D25"/>
    <mergeCell ref="B26:D26"/>
    <mergeCell ref="G26:H26"/>
    <mergeCell ref="B16:D16"/>
    <mergeCell ref="B17:D17"/>
    <mergeCell ref="B18:D18"/>
    <mergeCell ref="B19:D19"/>
    <mergeCell ref="G20:H20"/>
    <mergeCell ref="B21:D21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ADA1A-F954-4733-B797-F3D860A7C6F0}">
  <dimension ref="B6:T63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7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  <c r="O6" s="9"/>
      <c r="P6" s="9"/>
    </row>
    <row r="7" spans="2:17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7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7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7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1"/>
      <c r="K10" s="1"/>
    </row>
    <row r="11" spans="2:17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7" ht="18" thickBot="1">
      <c r="B12" s="331" t="s">
        <v>2</v>
      </c>
      <c r="C12" s="332"/>
      <c r="D12" s="332"/>
      <c r="E12" s="333"/>
      <c r="F12" s="186"/>
      <c r="G12" s="1"/>
      <c r="H12" s="1"/>
      <c r="I12" s="1"/>
      <c r="J12" s="1"/>
      <c r="K12" s="1"/>
      <c r="L12" s="13"/>
    </row>
    <row r="13" spans="2:17" ht="18" thickBot="1">
      <c r="B13" s="1"/>
      <c r="C13" s="1"/>
      <c r="D13" s="1"/>
      <c r="E13" s="1"/>
      <c r="F13" s="149"/>
      <c r="G13" s="11"/>
      <c r="H13" s="11"/>
      <c r="I13" s="11"/>
      <c r="J13" s="15"/>
      <c r="K13" s="16"/>
      <c r="L13" s="13"/>
    </row>
    <row r="14" spans="2:17" ht="15" thickBot="1">
      <c r="B14" s="334" t="s">
        <v>3</v>
      </c>
      <c r="C14" s="335"/>
      <c r="D14" s="336"/>
      <c r="E14" s="17">
        <f>SUM(E15:E17)</f>
        <v>3038364.13</v>
      </c>
      <c r="F14" s="148"/>
      <c r="G14" s="331" t="s">
        <v>4</v>
      </c>
      <c r="H14" s="332"/>
      <c r="I14" s="332"/>
      <c r="J14" s="332"/>
      <c r="K14" s="333"/>
      <c r="L14" s="19"/>
      <c r="N14" s="156"/>
    </row>
    <row r="15" spans="2:17">
      <c r="B15" s="337" t="s">
        <v>5</v>
      </c>
      <c r="C15" s="338"/>
      <c r="D15" s="339"/>
      <c r="E15" s="20">
        <f>J16+J17+J18+J19</f>
        <v>2984742.89</v>
      </c>
      <c r="F15" s="153">
        <f>E15+E16+E17</f>
        <v>3038364.13</v>
      </c>
      <c r="G15" s="340" t="s">
        <v>6</v>
      </c>
      <c r="H15" s="341"/>
      <c r="I15" s="21"/>
      <c r="J15" s="342" t="s">
        <v>5</v>
      </c>
      <c r="K15" s="343"/>
      <c r="L15" s="13"/>
    </row>
    <row r="16" spans="2:17">
      <c r="B16" s="349" t="s">
        <v>7</v>
      </c>
      <c r="C16" s="350"/>
      <c r="D16" s="351"/>
      <c r="E16" s="20">
        <f>G21+G22</f>
        <v>21916.07</v>
      </c>
      <c r="F16" s="153">
        <v>90000</v>
      </c>
      <c r="G16" s="22">
        <v>9639.39</v>
      </c>
      <c r="H16" s="23" t="s">
        <v>8</v>
      </c>
      <c r="I16" s="24"/>
      <c r="J16" s="25">
        <v>13455.63</v>
      </c>
      <c r="K16" s="26" t="s">
        <v>9</v>
      </c>
      <c r="L16" s="13"/>
      <c r="N16" s="155"/>
      <c r="Q16" s="27"/>
    </row>
    <row r="17" spans="2:20">
      <c r="B17" s="352" t="s">
        <v>6</v>
      </c>
      <c r="C17" s="353"/>
      <c r="D17" s="354"/>
      <c r="E17" s="28">
        <f>G16+G17+G18</f>
        <v>31705.170000000002</v>
      </c>
      <c r="F17" s="153">
        <f>F15-F16</f>
        <v>2948364.13</v>
      </c>
      <c r="G17" s="22">
        <v>11006.19</v>
      </c>
      <c r="H17" s="29" t="s">
        <v>10</v>
      </c>
      <c r="I17" s="30"/>
      <c r="J17" s="25">
        <v>43234.34</v>
      </c>
      <c r="K17" s="31" t="s">
        <v>10</v>
      </c>
      <c r="L17" s="13">
        <v>6750</v>
      </c>
      <c r="M17">
        <v>1799</v>
      </c>
      <c r="N17">
        <v>4038</v>
      </c>
      <c r="O17" s="3">
        <f>15/100</f>
        <v>0.15</v>
      </c>
      <c r="P17" s="3">
        <f>+N17*O17</f>
        <v>605.69999999999993</v>
      </c>
      <c r="Q17" s="152">
        <f>+N17-P17</f>
        <v>3432.3</v>
      </c>
      <c r="R17" s="3">
        <f>+M17+Q17</f>
        <v>5231.3</v>
      </c>
      <c r="S17" s="3">
        <f>+M17+N17</f>
        <v>5837</v>
      </c>
      <c r="T17" t="s">
        <v>150</v>
      </c>
    </row>
    <row r="18" spans="2:20">
      <c r="B18" s="355" t="s">
        <v>11</v>
      </c>
      <c r="C18" s="356"/>
      <c r="D18" s="357"/>
      <c r="E18" s="20">
        <f>G28+G30+G29+G27</f>
        <v>5797</v>
      </c>
      <c r="F18" s="153"/>
      <c r="G18" s="22">
        <v>11059.59</v>
      </c>
      <c r="H18" s="29" t="s">
        <v>12</v>
      </c>
      <c r="I18" s="30"/>
      <c r="J18" s="25">
        <v>2871898.88</v>
      </c>
      <c r="K18" s="31" t="s">
        <v>12</v>
      </c>
      <c r="L18" s="32">
        <v>4350</v>
      </c>
      <c r="M18">
        <v>1799</v>
      </c>
      <c r="N18">
        <v>1488</v>
      </c>
      <c r="R18" s="3">
        <f>+M18+N18</f>
        <v>3287</v>
      </c>
      <c r="S18" s="3">
        <f>+M18+N18</f>
        <v>3287</v>
      </c>
      <c r="T18" t="s">
        <v>151</v>
      </c>
    </row>
    <row r="19" spans="2:20">
      <c r="B19" s="344" t="s">
        <v>13</v>
      </c>
      <c r="C19" s="345"/>
      <c r="D19" s="346"/>
      <c r="E19" s="20">
        <v>16058267.640000001</v>
      </c>
      <c r="F19" s="153"/>
      <c r="G19" s="33"/>
      <c r="H19" s="34"/>
      <c r="I19" s="30"/>
      <c r="J19" s="25">
        <v>56154.04</v>
      </c>
      <c r="K19" s="31" t="s">
        <v>14</v>
      </c>
      <c r="L19" s="13">
        <f>SUM(L17:L18)</f>
        <v>11100</v>
      </c>
      <c r="R19" s="3">
        <f>SUM(R17:R18)</f>
        <v>8518.2999999999993</v>
      </c>
      <c r="S19" s="3">
        <f>SUM(S17:S18)</f>
        <v>9124</v>
      </c>
    </row>
    <row r="20" spans="2:20">
      <c r="B20" s="187" t="s">
        <v>15</v>
      </c>
      <c r="C20" s="188"/>
      <c r="D20" s="189"/>
      <c r="E20" s="190">
        <f>SUM(E21:E22)</f>
        <v>1624</v>
      </c>
      <c r="F20" s="153"/>
      <c r="G20" s="361" t="s">
        <v>16</v>
      </c>
      <c r="H20" s="362"/>
      <c r="I20" s="36"/>
      <c r="J20" s="37"/>
      <c r="K20" s="38"/>
      <c r="L20" s="39">
        <f>L19-S19</f>
        <v>1976</v>
      </c>
    </row>
    <row r="21" spans="2:20">
      <c r="B21" s="374" t="s">
        <v>149</v>
      </c>
      <c r="C21" s="375"/>
      <c r="D21" s="376"/>
      <c r="E21" s="35">
        <v>1624</v>
      </c>
      <c r="F21" s="154"/>
      <c r="G21" s="44">
        <v>12066.72</v>
      </c>
      <c r="H21" s="29" t="s">
        <v>10</v>
      </c>
      <c r="I21" s="30"/>
      <c r="J21" s="37"/>
      <c r="K21" s="45"/>
      <c r="L21" s="39"/>
    </row>
    <row r="22" spans="2:20">
      <c r="B22" s="371"/>
      <c r="C22" s="372"/>
      <c r="D22" s="373"/>
      <c r="E22" s="43">
        <v>0</v>
      </c>
      <c r="F22" s="154"/>
      <c r="G22" s="44">
        <v>9849.35</v>
      </c>
      <c r="H22" s="29" t="s">
        <v>18</v>
      </c>
      <c r="I22" s="30"/>
      <c r="J22" s="50"/>
      <c r="K22" s="38"/>
      <c r="L22" s="39"/>
    </row>
    <row r="23" spans="2:20" ht="15" thickBot="1">
      <c r="B23" s="46" t="s">
        <v>17</v>
      </c>
      <c r="C23" s="47"/>
      <c r="D23" s="48"/>
      <c r="E23" s="49">
        <v>0</v>
      </c>
      <c r="F23" s="158">
        <f>SUM(E23:E30)</f>
        <v>1740000</v>
      </c>
      <c r="G23" s="51"/>
      <c r="H23" s="34"/>
      <c r="I23" s="30"/>
      <c r="J23" s="52"/>
      <c r="K23" s="53"/>
      <c r="L23" s="39"/>
    </row>
    <row r="24" spans="2:20" ht="15" thickBot="1">
      <c r="B24" s="366" t="s">
        <v>77</v>
      </c>
      <c r="C24" s="367"/>
      <c r="D24" s="368"/>
      <c r="E24" s="49">
        <v>1500000</v>
      </c>
      <c r="F24" s="148">
        <f>+F17-F23</f>
        <v>1208364.1299999999</v>
      </c>
      <c r="G24" s="331" t="s">
        <v>21</v>
      </c>
      <c r="H24" s="332"/>
      <c r="I24" s="332"/>
      <c r="J24" s="332"/>
      <c r="K24" s="333"/>
      <c r="L24" s="39"/>
    </row>
    <row r="25" spans="2:20">
      <c r="B25" s="344" t="s">
        <v>89</v>
      </c>
      <c r="C25" s="345"/>
      <c r="D25" s="346"/>
      <c r="E25" s="49">
        <v>85000</v>
      </c>
      <c r="F25" s="154"/>
      <c r="G25" s="54"/>
      <c r="H25" s="55"/>
      <c r="I25" s="56"/>
      <c r="J25" s="57"/>
      <c r="K25" s="58"/>
      <c r="L25" s="39"/>
    </row>
    <row r="26" spans="2:20">
      <c r="B26" s="344" t="s">
        <v>23</v>
      </c>
      <c r="C26" s="345"/>
      <c r="D26" s="346"/>
      <c r="E26" s="49">
        <v>80000</v>
      </c>
      <c r="F26" s="148"/>
      <c r="G26" s="347" t="s">
        <v>5</v>
      </c>
      <c r="H26" s="348"/>
      <c r="I26" s="59"/>
      <c r="J26" s="60"/>
      <c r="K26" s="45"/>
      <c r="L26" s="61"/>
      <c r="Q26" s="152"/>
      <c r="R26" s="152"/>
    </row>
    <row r="27" spans="2:20">
      <c r="B27" s="344" t="s">
        <v>22</v>
      </c>
      <c r="C27" s="345"/>
      <c r="D27" s="346"/>
      <c r="E27" s="49">
        <v>75000</v>
      </c>
      <c r="F27" s="148">
        <v>0</v>
      </c>
      <c r="G27" s="22">
        <f>11660.25-11500</f>
        <v>160.25</v>
      </c>
      <c r="H27" s="62" t="s">
        <v>9</v>
      </c>
      <c r="I27" s="59"/>
      <c r="J27" s="60"/>
      <c r="K27" s="45"/>
      <c r="L27" s="61"/>
    </row>
    <row r="28" spans="2:20">
      <c r="B28" s="344" t="s">
        <v>24</v>
      </c>
      <c r="C28" s="345"/>
      <c r="D28" s="346"/>
      <c r="E28" s="49">
        <v>0</v>
      </c>
      <c r="F28" s="148">
        <v>0</v>
      </c>
      <c r="G28" s="22">
        <v>2090.02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20">
      <c r="B29" s="344" t="s">
        <v>25</v>
      </c>
      <c r="C29" s="345"/>
      <c r="D29" s="346"/>
      <c r="E29" s="49">
        <v>0</v>
      </c>
      <c r="F29" s="148">
        <v>0</v>
      </c>
      <c r="G29" s="67">
        <v>1340.17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20" ht="15" thickBot="1">
      <c r="B30" s="363" t="s">
        <v>29</v>
      </c>
      <c r="C30" s="364"/>
      <c r="D30" s="365"/>
      <c r="E30" s="66">
        <v>0</v>
      </c>
      <c r="F30" s="154">
        <f>SUM(F26:F29)</f>
        <v>0</v>
      </c>
      <c r="G30" s="71">
        <v>2206.56</v>
      </c>
      <c r="H30" s="72" t="s">
        <v>12</v>
      </c>
      <c r="I30" s="73"/>
      <c r="J30" s="74" t="s">
        <v>32</v>
      </c>
      <c r="K30" s="75" t="s">
        <v>33</v>
      </c>
      <c r="L30" s="61"/>
    </row>
    <row r="34" spans="5:7">
      <c r="E34" s="181" t="s">
        <v>134</v>
      </c>
      <c r="F34" s="178"/>
      <c r="G34" s="8"/>
    </row>
    <row r="35" spans="5:7">
      <c r="E35" s="181"/>
      <c r="F35" s="178"/>
      <c r="G35" s="8"/>
    </row>
    <row r="36" spans="5:7">
      <c r="E36" s="8" t="s">
        <v>34</v>
      </c>
      <c r="F36" s="178">
        <f>F17</f>
        <v>2948364.13</v>
      </c>
      <c r="G36" s="8"/>
    </row>
    <row r="37" spans="5:7">
      <c r="E37" s="8" t="s">
        <v>35</v>
      </c>
      <c r="F37" s="178">
        <f>+F30</f>
        <v>0</v>
      </c>
      <c r="G37" s="8"/>
    </row>
    <row r="38" spans="5:7" s="61" customFormat="1" ht="15" customHeight="1">
      <c r="E38" s="8" t="s">
        <v>36</v>
      </c>
      <c r="F38" s="178">
        <v>0</v>
      </c>
      <c r="G38" s="86">
        <v>1659693.86</v>
      </c>
    </row>
    <row r="39" spans="5:7" s="61" customFormat="1" ht="15" customHeight="1">
      <c r="E39" s="8" t="s">
        <v>37</v>
      </c>
      <c r="F39" s="178">
        <v>0</v>
      </c>
      <c r="G39" s="86">
        <v>480000</v>
      </c>
    </row>
    <row r="40" spans="5:7" s="61" customFormat="1" ht="15" customHeight="1">
      <c r="E40" s="182" t="s">
        <v>38</v>
      </c>
      <c r="F40" s="179">
        <f>SUM(F36:F39)</f>
        <v>2948364.13</v>
      </c>
      <c r="G40" s="86"/>
    </row>
    <row r="41" spans="5:7" s="61" customFormat="1" ht="15" customHeight="1">
      <c r="E41" s="183"/>
      <c r="F41" s="174"/>
      <c r="G41" s="86"/>
    </row>
    <row r="42" spans="5:7" s="61" customFormat="1" ht="15" customHeight="1">
      <c r="E42" s="114" t="s">
        <v>146</v>
      </c>
      <c r="F42" s="94">
        <v>85000</v>
      </c>
      <c r="G42" s="9"/>
    </row>
    <row r="43" spans="5:7" s="61" customFormat="1" ht="15" customHeight="1">
      <c r="E43" s="113" t="s">
        <v>137</v>
      </c>
      <c r="F43" s="154">
        <v>1500000</v>
      </c>
      <c r="G43" s="9"/>
    </row>
    <row r="44" spans="5:7" s="61" customFormat="1" ht="15" customHeight="1">
      <c r="E44" s="114" t="s">
        <v>138</v>
      </c>
      <c r="F44" s="94">
        <v>80000</v>
      </c>
      <c r="G44" s="8"/>
    </row>
    <row r="45" spans="5:7" s="61" customFormat="1" ht="15" customHeight="1">
      <c r="E45" s="114" t="s">
        <v>139</v>
      </c>
      <c r="F45" s="94">
        <v>75000</v>
      </c>
      <c r="G45" s="8"/>
    </row>
    <row r="46" spans="5:7" s="61" customFormat="1" ht="15" customHeight="1">
      <c r="E46" s="114" t="s">
        <v>81</v>
      </c>
      <c r="F46" s="94">
        <v>0</v>
      </c>
      <c r="G46" s="8"/>
    </row>
    <row r="47" spans="5:7" s="61" customFormat="1" ht="15" customHeight="1">
      <c r="E47" s="114" t="s">
        <v>105</v>
      </c>
      <c r="F47" s="94">
        <v>0</v>
      </c>
      <c r="G47" s="8"/>
    </row>
    <row r="48" spans="5:7" s="61" customFormat="1" ht="15" customHeight="1">
      <c r="E48" s="116" t="s">
        <v>24</v>
      </c>
      <c r="F48" s="117">
        <v>0</v>
      </c>
      <c r="G48" s="8"/>
    </row>
    <row r="49" spans="5:7" s="61" customFormat="1" ht="15" customHeight="1">
      <c r="E49" s="116" t="s">
        <v>39</v>
      </c>
      <c r="F49" s="117">
        <v>2000</v>
      </c>
      <c r="G49" s="174">
        <v>134250.92000000001</v>
      </c>
    </row>
    <row r="50" spans="5:7" s="61" customFormat="1" ht="15" customHeight="1">
      <c r="E50" s="116" t="s">
        <v>22</v>
      </c>
      <c r="F50" s="117">
        <f>45000-7000-6000</f>
        <v>32000</v>
      </c>
      <c r="G50" s="8"/>
    </row>
    <row r="51" spans="5:7" s="61" customFormat="1" ht="15" customHeight="1">
      <c r="E51" s="116" t="s">
        <v>69</v>
      </c>
      <c r="F51" s="117">
        <v>0</v>
      </c>
      <c r="G51" s="8"/>
    </row>
    <row r="52" spans="5:7" s="61" customFormat="1" ht="15" customHeight="1">
      <c r="E52" s="116" t="s">
        <v>40</v>
      </c>
      <c r="F52" s="94">
        <f>100000-20000</f>
        <v>80000</v>
      </c>
      <c r="G52" s="8"/>
    </row>
    <row r="53" spans="5:7" s="61" customFormat="1" ht="15" customHeight="1">
      <c r="E53" s="116" t="s">
        <v>136</v>
      </c>
      <c r="F53" s="94">
        <v>700576.31191780814</v>
      </c>
      <c r="G53" s="8"/>
    </row>
    <row r="54" spans="5:7" s="61" customFormat="1">
      <c r="E54" s="116" t="s">
        <v>145</v>
      </c>
      <c r="F54" s="94">
        <v>134250.92000000001</v>
      </c>
      <c r="G54" s="8"/>
    </row>
    <row r="55" spans="5:7" s="61" customFormat="1">
      <c r="E55" s="118" t="s">
        <v>41</v>
      </c>
      <c r="F55" s="119">
        <f>SUM(F42:F54)</f>
        <v>2688827.2319178078</v>
      </c>
      <c r="G55" s="8"/>
    </row>
    <row r="56" spans="5:7" s="61" customFormat="1">
      <c r="E56" s="118" t="s">
        <v>42</v>
      </c>
      <c r="F56" s="119">
        <f>F40-F55</f>
        <v>259536.89808219206</v>
      </c>
      <c r="G56" s="8"/>
    </row>
    <row r="57" spans="5:7" s="61" customFormat="1">
      <c r="E57" s="82"/>
      <c r="F57" s="80"/>
      <c r="G57" s="8"/>
    </row>
    <row r="58" spans="5:7" s="61" customFormat="1">
      <c r="E58" s="82" t="s">
        <v>43</v>
      </c>
      <c r="F58" s="80">
        <f>43800+180000</f>
        <v>223800</v>
      </c>
      <c r="G58" s="8"/>
    </row>
    <row r="59" spans="5:7" s="61" customFormat="1">
      <c r="E59" s="82" t="s">
        <v>44</v>
      </c>
      <c r="F59" s="80">
        <f>100000+350000-20000-40000</f>
        <v>390000</v>
      </c>
      <c r="G59" s="8"/>
    </row>
    <row r="60" spans="5:7" s="61" customFormat="1">
      <c r="E60" s="82" t="s">
        <v>91</v>
      </c>
      <c r="F60" s="117">
        <v>497832.52</v>
      </c>
      <c r="G60" s="8"/>
    </row>
    <row r="61" spans="5:7" s="61" customFormat="1">
      <c r="E61" s="118" t="s">
        <v>46</v>
      </c>
      <c r="F61" s="120">
        <f>SUM(F58:F60)</f>
        <v>1111632.52</v>
      </c>
      <c r="G61" s="82"/>
    </row>
    <row r="62" spans="5:7" s="61" customFormat="1">
      <c r="E62" s="82"/>
      <c r="F62" s="80"/>
      <c r="G62" s="82"/>
    </row>
    <row r="63" spans="5:7" s="61" customFormat="1">
      <c r="E63" s="118" t="s">
        <v>47</v>
      </c>
      <c r="F63" s="120">
        <f>F56-F61</f>
        <v>-852095.62191780796</v>
      </c>
      <c r="G63" s="82"/>
    </row>
  </sheetData>
  <mergeCells count="23">
    <mergeCell ref="E10:F10"/>
    <mergeCell ref="B12:E12"/>
    <mergeCell ref="B14:D14"/>
    <mergeCell ref="G14:K14"/>
    <mergeCell ref="B15:D15"/>
    <mergeCell ref="G15:H15"/>
    <mergeCell ref="J15:K15"/>
    <mergeCell ref="G24:K24"/>
    <mergeCell ref="B25:D25"/>
    <mergeCell ref="B26:D26"/>
    <mergeCell ref="G26:H26"/>
    <mergeCell ref="B16:D16"/>
    <mergeCell ref="B17:D17"/>
    <mergeCell ref="B18:D18"/>
    <mergeCell ref="B19:D19"/>
    <mergeCell ref="G20:H20"/>
    <mergeCell ref="B21:D21"/>
    <mergeCell ref="B27:D27"/>
    <mergeCell ref="B28:D28"/>
    <mergeCell ref="B29:D29"/>
    <mergeCell ref="B30:D30"/>
    <mergeCell ref="B22:D22"/>
    <mergeCell ref="B24:D24"/>
  </mergeCells>
  <pageMargins left="0.7" right="0.7" top="0.75" bottom="0.75" header="0.3" footer="0.3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74791-69F1-4BF8-BFF3-BEA10F5762A4}">
  <dimension ref="B6:P68"/>
  <sheetViews>
    <sheetView showGridLines="0" topLeftCell="A3" workbookViewId="0">
      <selection activeCell="H34" sqref="H34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8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9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2911566.7199999997</v>
      </c>
      <c r="F14" s="149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1700313.87</v>
      </c>
      <c r="F15" s="150">
        <f>E15+E16+E17</f>
        <v>2911566.7199999997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19840.830000000002</v>
      </c>
      <c r="F16" s="150">
        <v>90000</v>
      </c>
      <c r="G16" s="22">
        <v>9639.39</v>
      </c>
      <c r="H16" s="23" t="s">
        <v>8</v>
      </c>
      <c r="I16" s="24"/>
      <c r="J16" s="25">
        <v>131104.31</v>
      </c>
      <c r="K16" s="26" t="s">
        <v>9</v>
      </c>
    </row>
    <row r="17" spans="2:14">
      <c r="B17" s="352" t="s">
        <v>6</v>
      </c>
      <c r="C17" s="353"/>
      <c r="D17" s="354"/>
      <c r="E17" s="28">
        <f>G16+G17+G18</f>
        <v>1191412.0199999998</v>
      </c>
      <c r="F17" s="150">
        <f>F15-F16</f>
        <v>2821566.7199999997</v>
      </c>
      <c r="G17" s="22">
        <v>1156698.6399999999</v>
      </c>
      <c r="H17" s="29" t="s">
        <v>10</v>
      </c>
      <c r="I17" s="30"/>
      <c r="J17" s="25">
        <v>15457.74</v>
      </c>
      <c r="K17" s="31" t="s">
        <v>10</v>
      </c>
      <c r="L17" s="13"/>
    </row>
    <row r="18" spans="2:14">
      <c r="B18" s="355" t="s">
        <v>11</v>
      </c>
      <c r="C18" s="356"/>
      <c r="D18" s="357"/>
      <c r="E18" s="20">
        <f>G28+G30+G29+G27</f>
        <v>5800.2200000000012</v>
      </c>
      <c r="F18" s="150"/>
      <c r="G18" s="22">
        <v>25073.99</v>
      </c>
      <c r="H18" s="29" t="s">
        <v>12</v>
      </c>
      <c r="I18" s="30"/>
      <c r="J18" s="25">
        <v>1402391.22</v>
      </c>
      <c r="K18" s="31" t="s">
        <v>12</v>
      </c>
      <c r="L18" s="32"/>
    </row>
    <row r="19" spans="2:14">
      <c r="B19" s="344" t="s">
        <v>13</v>
      </c>
      <c r="C19" s="345"/>
      <c r="D19" s="346"/>
      <c r="E19" s="20">
        <v>14619831.49</v>
      </c>
      <c r="F19" s="150"/>
      <c r="G19" s="33"/>
      <c r="H19" s="34"/>
      <c r="I19" s="30"/>
      <c r="J19" s="25">
        <v>151360.6</v>
      </c>
      <c r="K19" s="31" t="s">
        <v>14</v>
      </c>
      <c r="L19" s="13"/>
    </row>
    <row r="20" spans="2:14">
      <c r="B20" s="187" t="s">
        <v>15</v>
      </c>
      <c r="C20" s="188"/>
      <c r="D20" s="189"/>
      <c r="E20" s="190">
        <f>SUM(E21:E27)</f>
        <v>1393375.71</v>
      </c>
      <c r="F20" s="150"/>
      <c r="G20" s="361" t="s">
        <v>16</v>
      </c>
      <c r="H20" s="362"/>
      <c r="I20" s="36"/>
      <c r="J20" s="37"/>
      <c r="K20" s="38"/>
      <c r="L20" s="39"/>
    </row>
    <row r="21" spans="2:14">
      <c r="B21" s="193"/>
      <c r="C21" s="194"/>
      <c r="D21" s="191" t="s">
        <v>153</v>
      </c>
      <c r="E21" s="35">
        <v>59211.3</v>
      </c>
      <c r="F21" s="39"/>
      <c r="G21" s="44">
        <v>9991.48</v>
      </c>
      <c r="H21" s="29" t="s">
        <v>10</v>
      </c>
      <c r="I21" s="30"/>
      <c r="J21" s="37"/>
      <c r="K21" s="45"/>
      <c r="L21" s="39"/>
    </row>
    <row r="22" spans="2:14">
      <c r="B22" s="192"/>
      <c r="C22" s="122"/>
      <c r="D22" s="191" t="s">
        <v>153</v>
      </c>
      <c r="E22" s="43">
        <v>315889.61</v>
      </c>
      <c r="F22" s="39"/>
      <c r="G22" s="44">
        <v>9849.35</v>
      </c>
      <c r="H22" s="29" t="s">
        <v>18</v>
      </c>
      <c r="I22" s="30"/>
      <c r="J22" s="50"/>
      <c r="K22" s="38"/>
      <c r="L22" s="39"/>
    </row>
    <row r="23" spans="2:14" ht="15" thickBot="1">
      <c r="B23" s="192"/>
      <c r="C23" s="122"/>
      <c r="D23" s="191" t="s">
        <v>153</v>
      </c>
      <c r="E23" s="43">
        <v>771068.59</v>
      </c>
      <c r="F23" s="39"/>
      <c r="G23" s="51"/>
      <c r="H23" s="34"/>
      <c r="I23" s="30"/>
      <c r="J23" s="52"/>
      <c r="K23" s="53"/>
      <c r="L23" s="39"/>
    </row>
    <row r="24" spans="2:14" ht="15" thickBot="1">
      <c r="B24" s="192"/>
      <c r="C24" s="122"/>
      <c r="D24" s="191" t="s">
        <v>153</v>
      </c>
      <c r="E24" s="43">
        <v>37983.96</v>
      </c>
      <c r="F24" s="39"/>
      <c r="G24" s="331" t="s">
        <v>21</v>
      </c>
      <c r="H24" s="332"/>
      <c r="I24" s="332"/>
      <c r="J24" s="332"/>
      <c r="K24" s="333"/>
      <c r="L24" s="39"/>
    </row>
    <row r="25" spans="2:14">
      <c r="B25" s="192"/>
      <c r="C25" s="122"/>
      <c r="D25" s="191" t="s">
        <v>153</v>
      </c>
      <c r="E25" s="43">
        <v>77327.92</v>
      </c>
      <c r="F25" s="39"/>
      <c r="G25" s="54"/>
      <c r="H25" s="55"/>
      <c r="I25" s="56"/>
      <c r="J25" s="57"/>
      <c r="K25" s="58"/>
      <c r="L25" s="39"/>
    </row>
    <row r="26" spans="2:14">
      <c r="B26" s="192"/>
      <c r="C26" s="122"/>
      <c r="D26" s="191" t="s">
        <v>153</v>
      </c>
      <c r="E26" s="43">
        <v>80955.759999999995</v>
      </c>
      <c r="F26" s="39"/>
      <c r="G26" s="347" t="s">
        <v>5</v>
      </c>
      <c r="H26" s="348"/>
      <c r="I26" s="59"/>
      <c r="J26" s="60"/>
      <c r="K26" s="45"/>
      <c r="L26" s="61"/>
      <c r="N26" t="s">
        <v>20</v>
      </c>
    </row>
    <row r="27" spans="2:14">
      <c r="B27" s="195"/>
      <c r="C27" s="196"/>
      <c r="D27" s="191" t="s">
        <v>153</v>
      </c>
      <c r="E27" s="43">
        <v>50938.57</v>
      </c>
      <c r="F27" s="39"/>
      <c r="G27" s="22">
        <f>11662.1-11500</f>
        <v>162.10000000000036</v>
      </c>
      <c r="H27" s="62" t="s">
        <v>9</v>
      </c>
      <c r="I27" s="59"/>
      <c r="J27" s="60"/>
      <c r="K27" s="45"/>
      <c r="L27" s="61"/>
    </row>
    <row r="28" spans="2:14">
      <c r="B28" s="46" t="s">
        <v>17</v>
      </c>
      <c r="C28" s="47"/>
      <c r="D28" s="48"/>
      <c r="E28" s="49">
        <f>21873.38+30000+466</f>
        <v>52339.380000000005</v>
      </c>
      <c r="F28" s="159">
        <f>SUM(E28:E35)</f>
        <v>183211.18</v>
      </c>
      <c r="G28" s="22">
        <v>2090.4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4">
      <c r="B29" s="366" t="s">
        <v>152</v>
      </c>
      <c r="C29" s="367"/>
      <c r="D29" s="368"/>
      <c r="E29" s="49">
        <v>90000</v>
      </c>
      <c r="F29" s="149">
        <f>+F17-F28</f>
        <v>2638355.5399999996</v>
      </c>
      <c r="G29" s="67">
        <v>1340.51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4" ht="15" thickBot="1">
      <c r="B30" s="344" t="s">
        <v>154</v>
      </c>
      <c r="C30" s="345"/>
      <c r="D30" s="346"/>
      <c r="E30" s="49">
        <v>9940</v>
      </c>
      <c r="F30" s="39"/>
      <c r="G30" s="71">
        <v>2207.21</v>
      </c>
      <c r="H30" s="72" t="s">
        <v>12</v>
      </c>
      <c r="I30" s="73"/>
      <c r="J30" s="74" t="s">
        <v>32</v>
      </c>
      <c r="K30" s="75" t="s">
        <v>33</v>
      </c>
      <c r="L30" s="61"/>
    </row>
    <row r="31" spans="2:14">
      <c r="B31" s="344" t="s">
        <v>23</v>
      </c>
      <c r="C31" s="345"/>
      <c r="D31" s="346"/>
      <c r="E31" s="49">
        <v>0</v>
      </c>
      <c r="F31" s="149"/>
      <c r="G31" s="76"/>
      <c r="H31" s="76"/>
      <c r="I31" s="76"/>
      <c r="J31" s="76"/>
      <c r="K31" s="1"/>
      <c r="L31" s="77"/>
    </row>
    <row r="32" spans="2:14">
      <c r="B32" s="344" t="s">
        <v>22</v>
      </c>
      <c r="C32" s="345"/>
      <c r="D32" s="346"/>
      <c r="E32" s="49">
        <v>30931.8</v>
      </c>
      <c r="F32" s="149">
        <v>0</v>
      </c>
    </row>
    <row r="33" spans="2:11">
      <c r="B33" s="344" t="s">
        <v>24</v>
      </c>
      <c r="C33" s="345"/>
      <c r="D33" s="346"/>
      <c r="E33" s="49">
        <v>0</v>
      </c>
      <c r="F33" s="149">
        <v>0</v>
      </c>
      <c r="G33" s="8"/>
      <c r="H33" s="61"/>
      <c r="I33" s="61"/>
      <c r="J33" s="61"/>
      <c r="K33" s="61"/>
    </row>
    <row r="34" spans="2:11">
      <c r="B34" s="344" t="s">
        <v>25</v>
      </c>
      <c r="C34" s="345"/>
      <c r="D34" s="346"/>
      <c r="E34" s="49">
        <v>0</v>
      </c>
      <c r="F34" s="149">
        <v>0</v>
      </c>
      <c r="G34" s="8"/>
      <c r="H34" s="61"/>
      <c r="I34" s="61"/>
      <c r="J34" s="61"/>
      <c r="K34" s="78"/>
    </row>
    <row r="35" spans="2:11" ht="15" thickBot="1">
      <c r="B35" s="363" t="s">
        <v>29</v>
      </c>
      <c r="C35" s="364"/>
      <c r="D35" s="365"/>
      <c r="E35" s="66">
        <v>0</v>
      </c>
      <c r="F35" s="39">
        <f>SUM(F31:F34)</f>
        <v>0</v>
      </c>
      <c r="G35" s="8"/>
      <c r="H35" s="61"/>
      <c r="I35" s="61"/>
      <c r="J35" s="61"/>
      <c r="K35" s="78"/>
    </row>
    <row r="36" spans="2:11">
      <c r="B36" s="69"/>
      <c r="C36" s="69"/>
      <c r="D36" s="70"/>
      <c r="E36" s="70"/>
      <c r="F36" s="39"/>
      <c r="G36" s="8"/>
      <c r="H36" s="61"/>
      <c r="I36" s="61"/>
      <c r="J36" s="61"/>
      <c r="K36" s="83"/>
    </row>
    <row r="37" spans="2:11">
      <c r="E37" s="61"/>
      <c r="F37" s="160"/>
      <c r="G37" s="8"/>
      <c r="H37" s="61"/>
      <c r="I37" s="61"/>
      <c r="J37" s="61"/>
      <c r="K37" s="83"/>
    </row>
    <row r="38" spans="2:11" s="61" customFormat="1" ht="15" customHeight="1">
      <c r="B38"/>
      <c r="C38"/>
      <c r="D38"/>
      <c r="F38" s="160"/>
      <c r="G38" s="86">
        <v>1659693.86</v>
      </c>
      <c r="H38" s="98"/>
      <c r="J38" s="105"/>
      <c r="K38" s="83"/>
    </row>
    <row r="39" spans="2:11" s="61" customFormat="1" ht="15" customHeight="1">
      <c r="D39" s="83"/>
      <c r="E39" s="161" t="s">
        <v>134</v>
      </c>
      <c r="F39" s="162"/>
      <c r="G39" s="86">
        <v>480000</v>
      </c>
      <c r="H39" s="98"/>
      <c r="I39" s="98"/>
      <c r="K39" s="83"/>
    </row>
    <row r="40" spans="2:11" s="61" customFormat="1" ht="15" customHeight="1">
      <c r="D40" s="83"/>
      <c r="E40" s="161"/>
      <c r="F40" s="162"/>
      <c r="G40" s="86"/>
      <c r="H40" s="98"/>
      <c r="I40" s="98"/>
      <c r="K40" s="85"/>
    </row>
    <row r="41" spans="2:11" s="61" customFormat="1" ht="15" customHeight="1">
      <c r="D41" s="83"/>
      <c r="E41" s="61" t="s">
        <v>34</v>
      </c>
      <c r="F41" s="162">
        <f>F17</f>
        <v>2821566.7199999997</v>
      </c>
      <c r="G41" s="86"/>
      <c r="H41" s="98"/>
      <c r="J41" s="13"/>
      <c r="K41" s="87"/>
    </row>
    <row r="42" spans="2:11" s="61" customFormat="1" ht="15" customHeight="1">
      <c r="D42" s="83"/>
      <c r="E42" s="61" t="s">
        <v>35</v>
      </c>
      <c r="F42" s="162">
        <f>+F35</f>
        <v>0</v>
      </c>
      <c r="G42" s="9"/>
      <c r="H42" s="98"/>
      <c r="J42" s="13"/>
    </row>
    <row r="43" spans="2:11" s="61" customFormat="1" ht="15" customHeight="1">
      <c r="D43" s="83"/>
      <c r="E43" s="61" t="s">
        <v>36</v>
      </c>
      <c r="F43" s="162">
        <v>0</v>
      </c>
      <c r="G43" s="9"/>
      <c r="H43" s="98"/>
      <c r="J43" s="13"/>
    </row>
    <row r="44" spans="2:11" s="61" customFormat="1" ht="15" customHeight="1">
      <c r="D44" s="83"/>
      <c r="E44" s="61" t="s">
        <v>37</v>
      </c>
      <c r="F44" s="162">
        <v>0</v>
      </c>
      <c r="G44" s="8"/>
      <c r="H44" s="98"/>
      <c r="J44" s="13"/>
    </row>
    <row r="45" spans="2:11" s="61" customFormat="1" ht="15" customHeight="1">
      <c r="D45" s="83"/>
      <c r="E45" s="163" t="s">
        <v>38</v>
      </c>
      <c r="F45" s="164">
        <f>SUM(F41:F44)</f>
        <v>2821566.7199999997</v>
      </c>
      <c r="G45" s="8"/>
      <c r="H45" s="98"/>
      <c r="J45" s="13"/>
      <c r="K45" s="32"/>
    </row>
    <row r="46" spans="2:11" s="61" customFormat="1" ht="15" customHeight="1">
      <c r="D46" s="83"/>
      <c r="E46" s="165"/>
      <c r="F46" s="166"/>
      <c r="G46" s="8"/>
      <c r="H46" s="151"/>
    </row>
    <row r="47" spans="2:11" s="61" customFormat="1" ht="15" customHeight="1">
      <c r="D47" s="83"/>
      <c r="E47" s="89" t="s">
        <v>146</v>
      </c>
      <c r="F47" s="93">
        <v>85000</v>
      </c>
      <c r="G47" s="8"/>
      <c r="H47" s="83"/>
    </row>
    <row r="48" spans="2:11" s="61" customFormat="1" ht="15" customHeight="1">
      <c r="D48" s="83"/>
      <c r="E48" s="87" t="s">
        <v>137</v>
      </c>
      <c r="F48" s="39">
        <v>0</v>
      </c>
      <c r="G48" s="8"/>
      <c r="H48" s="83"/>
    </row>
    <row r="49" spans="5:7" s="61" customFormat="1" ht="15" customHeight="1">
      <c r="E49" s="89" t="s">
        <v>138</v>
      </c>
      <c r="F49" s="93">
        <v>0</v>
      </c>
      <c r="G49" s="174">
        <v>134250.92000000001</v>
      </c>
    </row>
    <row r="50" spans="5:7" s="61" customFormat="1" ht="15" customHeight="1">
      <c r="E50" s="89" t="s">
        <v>139</v>
      </c>
      <c r="F50" s="93">
        <v>0</v>
      </c>
      <c r="G50" s="8"/>
    </row>
    <row r="51" spans="5:7" s="61" customFormat="1" ht="15" customHeight="1">
      <c r="E51" s="89" t="s">
        <v>81</v>
      </c>
      <c r="F51" s="93">
        <v>0</v>
      </c>
      <c r="G51" s="8"/>
    </row>
    <row r="52" spans="5:7" s="61" customFormat="1" ht="15" customHeight="1">
      <c r="E52" s="89" t="s">
        <v>105</v>
      </c>
      <c r="F52" s="93">
        <v>0</v>
      </c>
      <c r="G52" s="8"/>
    </row>
    <row r="53" spans="5:7" s="61" customFormat="1" ht="15" customHeight="1">
      <c r="E53" s="91" t="s">
        <v>24</v>
      </c>
      <c r="F53" s="95">
        <v>0</v>
      </c>
      <c r="G53" s="8"/>
    </row>
    <row r="54" spans="5:7" s="61" customFormat="1">
      <c r="E54" s="91" t="s">
        <v>39</v>
      </c>
      <c r="F54" s="95">
        <v>2000</v>
      </c>
      <c r="G54" s="8"/>
    </row>
    <row r="55" spans="5:7" s="61" customFormat="1">
      <c r="E55" s="91" t="s">
        <v>22</v>
      </c>
      <c r="F55" s="95">
        <f>45000-7000-6000</f>
        <v>32000</v>
      </c>
      <c r="G55" s="8"/>
    </row>
    <row r="56" spans="5:7" s="61" customFormat="1">
      <c r="E56" s="91" t="s">
        <v>69</v>
      </c>
      <c r="F56" s="95">
        <v>0</v>
      </c>
      <c r="G56" s="8"/>
    </row>
    <row r="57" spans="5:7" s="61" customFormat="1">
      <c r="E57" s="91" t="s">
        <v>40</v>
      </c>
      <c r="F57" s="93">
        <f>100000-20000</f>
        <v>80000</v>
      </c>
      <c r="G57" s="8"/>
    </row>
    <row r="58" spans="5:7" s="61" customFormat="1">
      <c r="E58" s="91" t="s">
        <v>136</v>
      </c>
      <c r="F58" s="93">
        <f>700576.311917808-70014</f>
        <v>630562.31191780802</v>
      </c>
      <c r="G58" s="8"/>
    </row>
    <row r="59" spans="5:7" s="61" customFormat="1">
      <c r="E59" s="91" t="s">
        <v>145</v>
      </c>
      <c r="F59" s="93">
        <v>134250.92000000001</v>
      </c>
      <c r="G59" s="8"/>
    </row>
    <row r="60" spans="5:7" s="61" customFormat="1">
      <c r="E60" s="96" t="s">
        <v>41</v>
      </c>
      <c r="F60" s="97">
        <f>SUM(F47:F59)</f>
        <v>963813.23191780807</v>
      </c>
      <c r="G60" s="8"/>
    </row>
    <row r="61" spans="5:7" s="61" customFormat="1">
      <c r="E61" s="96" t="s">
        <v>42</v>
      </c>
      <c r="F61" s="97">
        <f>F45-F60</f>
        <v>1857753.4880821917</v>
      </c>
      <c r="G61" s="82"/>
    </row>
    <row r="62" spans="5:7" s="61" customFormat="1">
      <c r="E62" s="83"/>
      <c r="F62" s="151"/>
      <c r="G62" s="82"/>
    </row>
    <row r="63" spans="5:7" s="61" customFormat="1">
      <c r="E63" s="83" t="s">
        <v>43</v>
      </c>
      <c r="F63" s="151">
        <f>43800+180000</f>
        <v>223800</v>
      </c>
      <c r="G63" s="82"/>
    </row>
    <row r="64" spans="5:7" s="61" customFormat="1">
      <c r="E64" s="83" t="s">
        <v>44</v>
      </c>
      <c r="F64" s="151">
        <f>100000+350000-20000-40000</f>
        <v>390000</v>
      </c>
      <c r="G64" s="82"/>
    </row>
    <row r="65" spans="5:6" s="61" customFormat="1">
      <c r="E65" s="83" t="s">
        <v>91</v>
      </c>
      <c r="F65" s="95">
        <v>498147.12</v>
      </c>
    </row>
    <row r="66" spans="5:6">
      <c r="E66" s="96" t="s">
        <v>46</v>
      </c>
      <c r="F66" s="99">
        <f>SUM(F63:F65)</f>
        <v>1111947.1200000001</v>
      </c>
    </row>
    <row r="67" spans="5:6">
      <c r="E67" s="83"/>
      <c r="F67" s="151"/>
    </row>
    <row r="68" spans="5:6">
      <c r="E68" s="96" t="s">
        <v>47</v>
      </c>
      <c r="F68" s="99">
        <f>F61-F66</f>
        <v>745806.36808219156</v>
      </c>
    </row>
  </sheetData>
  <mergeCells count="21">
    <mergeCell ref="B32:D32"/>
    <mergeCell ref="B33:D33"/>
    <mergeCell ref="B34:D34"/>
    <mergeCell ref="B35:D35"/>
    <mergeCell ref="B29:D29"/>
    <mergeCell ref="G24:K24"/>
    <mergeCell ref="B30:D30"/>
    <mergeCell ref="B31:D31"/>
    <mergeCell ref="G26:H26"/>
    <mergeCell ref="B16:D16"/>
    <mergeCell ref="B17:D17"/>
    <mergeCell ref="B18:D18"/>
    <mergeCell ref="B19:D19"/>
    <mergeCell ref="G20:H20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CC59C-578A-42E8-AF63-0E785E627A50}">
  <dimension ref="B6:P61"/>
  <sheetViews>
    <sheetView showGridLines="0" topLeftCell="A21" workbookViewId="0">
      <selection activeCell="A21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5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  <c r="O6" s="9"/>
    </row>
    <row r="7" spans="2:15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5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5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5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1"/>
      <c r="K10" s="1"/>
    </row>
    <row r="11" spans="2:15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5" ht="18" thickBot="1">
      <c r="B12" s="331" t="s">
        <v>2</v>
      </c>
      <c r="C12" s="332"/>
      <c r="D12" s="332"/>
      <c r="E12" s="333"/>
      <c r="F12" s="186"/>
      <c r="G12" s="1"/>
      <c r="H12" s="1"/>
      <c r="I12" s="1"/>
      <c r="J12" s="1"/>
      <c r="K12" s="1"/>
      <c r="L12" s="13"/>
    </row>
    <row r="13" spans="2:15" ht="18" thickBot="1">
      <c r="B13" s="1"/>
      <c r="C13" s="1"/>
      <c r="D13" s="1"/>
      <c r="E13" s="1"/>
      <c r="F13" s="149"/>
      <c r="G13" s="11"/>
      <c r="H13" s="11"/>
      <c r="I13" s="11"/>
      <c r="J13" s="15"/>
      <c r="K13" s="16"/>
      <c r="L13" s="13"/>
    </row>
    <row r="14" spans="2:15" ht="15" thickBot="1">
      <c r="B14" s="334" t="s">
        <v>3</v>
      </c>
      <c r="C14" s="335"/>
      <c r="D14" s="336"/>
      <c r="E14" s="17">
        <f>SUM(E15:E17)</f>
        <v>165932.26999999999</v>
      </c>
      <c r="F14" s="149"/>
      <c r="G14" s="331" t="s">
        <v>4</v>
      </c>
      <c r="H14" s="332"/>
      <c r="I14" s="332"/>
      <c r="J14" s="332"/>
      <c r="K14" s="333"/>
      <c r="L14" s="19"/>
      <c r="N14" s="156"/>
      <c r="O14" s="3">
        <f>39*100</f>
        <v>3900</v>
      </c>
    </row>
    <row r="15" spans="2:15">
      <c r="B15" s="337" t="s">
        <v>5</v>
      </c>
      <c r="C15" s="338"/>
      <c r="D15" s="339"/>
      <c r="E15" s="20">
        <f>J16+J17+J18+J19</f>
        <v>83385.259999999995</v>
      </c>
      <c r="F15" s="150">
        <f>E15+E16+E17</f>
        <v>165932.26999999999</v>
      </c>
      <c r="G15" s="340" t="s">
        <v>6</v>
      </c>
      <c r="H15" s="341"/>
      <c r="I15" s="21"/>
      <c r="J15" s="342" t="s">
        <v>5</v>
      </c>
      <c r="K15" s="343"/>
      <c r="L15" s="13"/>
      <c r="O15" s="3">
        <v>1154.23</v>
      </c>
    </row>
    <row r="16" spans="2:15">
      <c r="B16" s="349" t="s">
        <v>7</v>
      </c>
      <c r="C16" s="350"/>
      <c r="D16" s="351"/>
      <c r="E16" s="20">
        <f>G21+G22</f>
        <v>25454.79</v>
      </c>
      <c r="F16" s="150">
        <v>90000</v>
      </c>
      <c r="G16" s="22">
        <v>29117.39</v>
      </c>
      <c r="H16" s="23" t="s">
        <v>8</v>
      </c>
      <c r="I16" s="24"/>
      <c r="J16" s="25">
        <v>12957.19</v>
      </c>
      <c r="K16" s="26" t="s">
        <v>9</v>
      </c>
      <c r="L16" s="13"/>
      <c r="N16" s="155"/>
      <c r="O16" s="3">
        <f>O15/50</f>
        <v>23.084600000000002</v>
      </c>
    </row>
    <row r="17" spans="2:15">
      <c r="B17" s="352" t="s">
        <v>6</v>
      </c>
      <c r="C17" s="353"/>
      <c r="D17" s="354"/>
      <c r="E17" s="28">
        <f>G16+G17+G18</f>
        <v>57092.22</v>
      </c>
      <c r="F17" s="150">
        <f>F15-F16</f>
        <v>75932.26999999999</v>
      </c>
      <c r="G17" s="22">
        <f>22626.24-10000</f>
        <v>12626.240000000002</v>
      </c>
      <c r="H17" s="29" t="s">
        <v>10</v>
      </c>
      <c r="I17" s="30"/>
      <c r="J17" s="25">
        <v>25457.74</v>
      </c>
      <c r="K17" s="31" t="s">
        <v>10</v>
      </c>
      <c r="L17" s="13"/>
    </row>
    <row r="18" spans="2:15">
      <c r="B18" s="355" t="s">
        <v>11</v>
      </c>
      <c r="C18" s="356"/>
      <c r="D18" s="357"/>
      <c r="E18" s="20">
        <f>G28+G30+G29+G27</f>
        <v>2056073.54</v>
      </c>
      <c r="F18" s="150"/>
      <c r="G18" s="22">
        <v>15348.59</v>
      </c>
      <c r="H18" s="29" t="s">
        <v>12</v>
      </c>
      <c r="I18" s="30"/>
      <c r="J18" s="25">
        <v>27159.53</v>
      </c>
      <c r="K18" s="31" t="s">
        <v>12</v>
      </c>
      <c r="L18" s="32"/>
    </row>
    <row r="19" spans="2:15">
      <c r="B19" s="344" t="s">
        <v>13</v>
      </c>
      <c r="C19" s="345"/>
      <c r="D19" s="346"/>
      <c r="E19" s="20">
        <v>15405463.609999999</v>
      </c>
      <c r="F19" s="150"/>
      <c r="G19" s="33"/>
      <c r="H19" s="34"/>
      <c r="I19" s="30"/>
      <c r="J19" s="25">
        <v>17810.8</v>
      </c>
      <c r="K19" s="31" t="s">
        <v>14</v>
      </c>
      <c r="L19" s="13"/>
    </row>
    <row r="20" spans="2:15">
      <c r="B20" s="187" t="s">
        <v>15</v>
      </c>
      <c r="C20" s="188"/>
      <c r="D20" s="189"/>
      <c r="E20" s="190">
        <f>SUM(E21:E22)</f>
        <v>0</v>
      </c>
      <c r="F20" s="150"/>
      <c r="G20" s="361" t="s">
        <v>16</v>
      </c>
      <c r="H20" s="362"/>
      <c r="I20" s="36"/>
      <c r="J20" s="37"/>
      <c r="K20" s="38"/>
      <c r="L20" s="39"/>
    </row>
    <row r="21" spans="2:15">
      <c r="B21" s="193"/>
      <c r="C21" s="194"/>
      <c r="D21" s="191"/>
      <c r="E21" s="35">
        <v>0</v>
      </c>
      <c r="F21" s="151"/>
      <c r="G21" s="44">
        <v>13748.28</v>
      </c>
      <c r="H21" s="29" t="s">
        <v>10</v>
      </c>
      <c r="I21" s="30"/>
      <c r="J21" s="37"/>
      <c r="K21" s="45"/>
      <c r="L21" s="39"/>
      <c r="O21" s="3">
        <f>14*150</f>
        <v>2100</v>
      </c>
    </row>
    <row r="22" spans="2:15">
      <c r="B22" s="195"/>
      <c r="C22" s="196"/>
      <c r="D22" s="191"/>
      <c r="E22" s="43">
        <v>0</v>
      </c>
      <c r="F22" s="151"/>
      <c r="G22" s="44">
        <v>11706.51</v>
      </c>
      <c r="H22" s="29" t="s">
        <v>18</v>
      </c>
      <c r="I22" s="30"/>
      <c r="J22" s="50"/>
      <c r="K22" s="38"/>
      <c r="L22" s="39"/>
    </row>
    <row r="23" spans="2:15" ht="15" thickBot="1">
      <c r="B23" s="46" t="s">
        <v>17</v>
      </c>
      <c r="C23" s="47"/>
      <c r="D23" s="48"/>
      <c r="E23" s="49">
        <v>0</v>
      </c>
      <c r="F23" s="159">
        <f>SUM(E23:E30)</f>
        <v>9449</v>
      </c>
      <c r="G23" s="51"/>
      <c r="H23" s="34"/>
      <c r="I23" s="30"/>
      <c r="J23" s="52"/>
      <c r="K23" s="53"/>
      <c r="L23" s="39"/>
    </row>
    <row r="24" spans="2:15" ht="15" thickBot="1">
      <c r="B24" s="366" t="s">
        <v>152</v>
      </c>
      <c r="C24" s="367"/>
      <c r="D24" s="368"/>
      <c r="E24" s="49">
        <v>9449</v>
      </c>
      <c r="F24" s="149">
        <f>+F17-F23</f>
        <v>66483.26999999999</v>
      </c>
      <c r="G24" s="331" t="s">
        <v>21</v>
      </c>
      <c r="H24" s="332"/>
      <c r="I24" s="332"/>
      <c r="J24" s="332"/>
      <c r="K24" s="333"/>
      <c r="L24" s="39"/>
      <c r="M24">
        <v>120</v>
      </c>
      <c r="N24">
        <v>1599</v>
      </c>
      <c r="O24" s="3">
        <v>13.324999999999999</v>
      </c>
    </row>
    <row r="25" spans="2:15">
      <c r="B25" s="344" t="s">
        <v>154</v>
      </c>
      <c r="C25" s="345"/>
      <c r="D25" s="346"/>
      <c r="E25" s="49">
        <v>0</v>
      </c>
      <c r="F25" s="151"/>
      <c r="G25" s="54"/>
      <c r="H25" s="55"/>
      <c r="I25" s="56"/>
      <c r="J25" s="57"/>
      <c r="K25" s="58"/>
      <c r="L25" s="39"/>
    </row>
    <row r="26" spans="2:15">
      <c r="B26" s="344" t="s">
        <v>23</v>
      </c>
      <c r="C26" s="345"/>
      <c r="D26" s="346"/>
      <c r="E26" s="49">
        <v>0</v>
      </c>
      <c r="F26" s="149"/>
      <c r="G26" s="347" t="s">
        <v>5</v>
      </c>
      <c r="H26" s="348"/>
      <c r="I26" s="59"/>
      <c r="J26" s="60"/>
      <c r="K26" s="45"/>
      <c r="L26" s="61">
        <v>160</v>
      </c>
      <c r="M26">
        <v>80</v>
      </c>
      <c r="N26">
        <f>1099*2</f>
        <v>2198</v>
      </c>
      <c r="O26" s="3">
        <f>+N26/L26</f>
        <v>13.737500000000001</v>
      </c>
    </row>
    <row r="27" spans="2:15">
      <c r="B27" s="344" t="s">
        <v>22</v>
      </c>
      <c r="C27" s="345"/>
      <c r="D27" s="346"/>
      <c r="E27" s="49">
        <v>0</v>
      </c>
      <c r="F27" s="149">
        <v>0</v>
      </c>
      <c r="G27" s="22">
        <f>31673.01-11500</f>
        <v>20173.009999999998</v>
      </c>
      <c r="H27" s="62" t="s">
        <v>9</v>
      </c>
      <c r="I27" s="59"/>
      <c r="J27" s="60"/>
      <c r="K27" s="45"/>
      <c r="L27" s="61"/>
    </row>
    <row r="28" spans="2:15">
      <c r="B28" s="344" t="s">
        <v>24</v>
      </c>
      <c r="C28" s="345"/>
      <c r="D28" s="346"/>
      <c r="E28" s="49">
        <v>0</v>
      </c>
      <c r="F28" s="149">
        <v>0</v>
      </c>
      <c r="G28" s="22">
        <v>612317.82999999996</v>
      </c>
      <c r="H28" s="62" t="s">
        <v>26</v>
      </c>
      <c r="I28" s="63"/>
      <c r="J28" s="64" t="s">
        <v>27</v>
      </c>
      <c r="K28" s="65" t="s">
        <v>28</v>
      </c>
      <c r="L28" s="61"/>
      <c r="M28">
        <v>150</v>
      </c>
      <c r="N28">
        <v>1999</v>
      </c>
      <c r="O28" s="3">
        <f>+N28/M28</f>
        <v>13.326666666666666</v>
      </c>
    </row>
    <row r="29" spans="2:15">
      <c r="B29" s="344" t="s">
        <v>25</v>
      </c>
      <c r="C29" s="345"/>
      <c r="D29" s="346"/>
      <c r="E29" s="49">
        <v>0</v>
      </c>
      <c r="F29" s="149">
        <v>0</v>
      </c>
      <c r="G29" s="67">
        <v>121375.01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5" ht="15" thickBot="1">
      <c r="B30" s="363" t="s">
        <v>29</v>
      </c>
      <c r="C30" s="364"/>
      <c r="D30" s="365"/>
      <c r="E30" s="66">
        <v>0</v>
      </c>
      <c r="F30" s="151">
        <f>SUM(F26:F29)</f>
        <v>0</v>
      </c>
      <c r="G30" s="71">
        <v>1302207.69</v>
      </c>
      <c r="H30" s="72" t="s">
        <v>12</v>
      </c>
      <c r="I30" s="73"/>
      <c r="J30" s="74" t="s">
        <v>32</v>
      </c>
      <c r="K30" s="75" t="s">
        <v>33</v>
      </c>
      <c r="L30" s="61"/>
    </row>
    <row r="31" spans="2:15">
      <c r="B31" s="69"/>
      <c r="C31" s="69"/>
      <c r="D31" s="70"/>
      <c r="E31" s="70"/>
      <c r="F31" s="151"/>
      <c r="G31" s="76"/>
      <c r="H31" s="76"/>
      <c r="I31" s="76"/>
      <c r="J31" s="76"/>
      <c r="K31" s="1"/>
      <c r="L31" s="77"/>
      <c r="M31">
        <v>1589</v>
      </c>
      <c r="N31">
        <f>16*50</f>
        <v>800</v>
      </c>
    </row>
    <row r="32" spans="2:15">
      <c r="E32" s="61"/>
      <c r="F32" s="151"/>
      <c r="M32">
        <f>M31/80</f>
        <v>19.862500000000001</v>
      </c>
    </row>
    <row r="34" spans="5:11">
      <c r="E34" s="161" t="s">
        <v>155</v>
      </c>
      <c r="F34" s="162"/>
      <c r="G34" s="8"/>
      <c r="H34" s="61"/>
      <c r="I34" s="61"/>
      <c r="J34" s="61"/>
      <c r="K34" s="78"/>
    </row>
    <row r="35" spans="5:11">
      <c r="E35" s="161"/>
      <c r="F35" s="162"/>
      <c r="G35" s="8"/>
      <c r="H35" s="61"/>
      <c r="I35" s="61"/>
      <c r="J35" s="61"/>
      <c r="K35" s="78"/>
    </row>
    <row r="36" spans="5:11">
      <c r="E36" s="61" t="s">
        <v>34</v>
      </c>
      <c r="F36" s="162">
        <f>F17</f>
        <v>75932.26999999999</v>
      </c>
      <c r="G36" s="8"/>
      <c r="H36" s="61"/>
      <c r="I36" s="61"/>
      <c r="J36" s="61"/>
      <c r="K36" s="83"/>
    </row>
    <row r="37" spans="5:11">
      <c r="E37" s="61" t="s">
        <v>35</v>
      </c>
      <c r="F37" s="197">
        <f>+E18</f>
        <v>2056073.54</v>
      </c>
      <c r="G37" s="8"/>
      <c r="H37" s="61"/>
      <c r="I37" s="61"/>
      <c r="J37" s="61"/>
      <c r="K37" s="83"/>
    </row>
    <row r="38" spans="5:11" s="61" customFormat="1" ht="15" customHeight="1">
      <c r="E38" s="61" t="s">
        <v>36</v>
      </c>
      <c r="F38" s="162">
        <v>0</v>
      </c>
      <c r="G38" s="86">
        <v>1659693.86</v>
      </c>
      <c r="H38" s="98"/>
      <c r="J38" s="105"/>
      <c r="K38" s="83"/>
    </row>
    <row r="39" spans="5:11" s="61" customFormat="1" ht="15" customHeight="1">
      <c r="E39" s="61" t="s">
        <v>37</v>
      </c>
      <c r="F39" s="162">
        <v>0</v>
      </c>
      <c r="G39" s="86">
        <v>480000</v>
      </c>
      <c r="H39" s="98"/>
      <c r="I39" s="98"/>
      <c r="K39" s="83"/>
    </row>
    <row r="40" spans="5:11" s="61" customFormat="1" ht="15" customHeight="1">
      <c r="E40" s="163" t="s">
        <v>38</v>
      </c>
      <c r="F40" s="164">
        <f>SUM(F36:F39)</f>
        <v>2132005.81</v>
      </c>
      <c r="G40" s="86"/>
      <c r="H40" s="98"/>
      <c r="I40" s="98"/>
      <c r="K40" s="85"/>
    </row>
    <row r="41" spans="5:11" s="61" customFormat="1" ht="15" customHeight="1">
      <c r="E41" s="165"/>
      <c r="F41" s="166"/>
      <c r="G41" s="86"/>
      <c r="H41" s="98"/>
      <c r="J41" s="13"/>
      <c r="K41" s="87"/>
    </row>
    <row r="42" spans="5:11" s="61" customFormat="1" ht="15" customHeight="1">
      <c r="E42" s="89" t="s">
        <v>146</v>
      </c>
      <c r="F42" s="93">
        <v>90000</v>
      </c>
      <c r="G42" s="9"/>
      <c r="H42" s="98"/>
      <c r="J42" s="13"/>
      <c r="K42" s="61">
        <f>9449+22249.69+1827+1971.07+21257.9</f>
        <v>56754.66</v>
      </c>
    </row>
    <row r="43" spans="5:11" s="61" customFormat="1" ht="15" customHeight="1">
      <c r="E43" s="87" t="s">
        <v>52</v>
      </c>
      <c r="F43" s="39">
        <v>25000</v>
      </c>
      <c r="G43" s="9"/>
      <c r="H43" s="98"/>
      <c r="J43" s="13"/>
    </row>
    <row r="44" spans="5:11" s="61" customFormat="1" ht="15" customHeight="1">
      <c r="E44" s="89" t="s">
        <v>116</v>
      </c>
      <c r="F44" s="93">
        <v>26400</v>
      </c>
      <c r="G44" s="8"/>
      <c r="H44" s="98"/>
      <c r="J44" s="13"/>
    </row>
    <row r="45" spans="5:11" s="61" customFormat="1" ht="15" customHeight="1">
      <c r="E45" s="89" t="s">
        <v>64</v>
      </c>
      <c r="F45" s="93">
        <v>140000</v>
      </c>
      <c r="G45" s="8"/>
      <c r="H45" s="98"/>
      <c r="J45" s="13"/>
      <c r="K45" s="32"/>
    </row>
    <row r="46" spans="5:11" s="61" customFormat="1" ht="15" customHeight="1">
      <c r="E46" s="91" t="s">
        <v>24</v>
      </c>
      <c r="F46" s="95">
        <f>65000+15000</f>
        <v>80000</v>
      </c>
      <c r="G46" s="8"/>
      <c r="H46" s="151"/>
    </row>
    <row r="47" spans="5:11" s="61" customFormat="1" ht="15" customHeight="1">
      <c r="E47" s="91" t="s">
        <v>39</v>
      </c>
      <c r="F47" s="95">
        <v>2000</v>
      </c>
      <c r="G47" s="8"/>
      <c r="H47" s="83"/>
    </row>
    <row r="48" spans="5:11" s="61" customFormat="1" ht="15" customHeight="1">
      <c r="E48" s="91" t="s">
        <v>22</v>
      </c>
      <c r="F48" s="95">
        <v>25000</v>
      </c>
      <c r="G48" s="8"/>
      <c r="H48" s="83"/>
    </row>
    <row r="49" spans="5:7" s="61" customFormat="1" ht="15" customHeight="1">
      <c r="E49" s="91" t="s">
        <v>53</v>
      </c>
      <c r="F49" s="95">
        <v>182245.54</v>
      </c>
      <c r="G49" s="174">
        <v>134250.92000000001</v>
      </c>
    </row>
    <row r="50" spans="5:7" s="61" customFormat="1" ht="15" customHeight="1">
      <c r="E50" s="91" t="s">
        <v>40</v>
      </c>
      <c r="F50" s="93">
        <v>120000</v>
      </c>
      <c r="G50" s="8"/>
    </row>
    <row r="51" spans="5:7" s="61" customFormat="1" ht="15" customHeight="1">
      <c r="E51" s="91" t="s">
        <v>136</v>
      </c>
      <c r="F51" s="93">
        <v>150000</v>
      </c>
      <c r="G51" s="8"/>
    </row>
    <row r="52" spans="5:7" s="61" customFormat="1">
      <c r="E52" s="91" t="s">
        <v>145</v>
      </c>
      <c r="F52" s="93">
        <v>134250.92000000001</v>
      </c>
      <c r="G52" s="8"/>
    </row>
    <row r="53" spans="5:7" s="61" customFormat="1">
      <c r="E53" s="96" t="s">
        <v>41</v>
      </c>
      <c r="F53" s="97">
        <f>SUM(F42:F52)</f>
        <v>974896.46000000008</v>
      </c>
      <c r="G53" s="8"/>
    </row>
    <row r="54" spans="5:7" s="61" customFormat="1">
      <c r="E54" s="96" t="s">
        <v>42</v>
      </c>
      <c r="F54" s="97">
        <f>F40-F53</f>
        <v>1157109.3500000001</v>
      </c>
      <c r="G54" s="8"/>
    </row>
    <row r="55" spans="5:7" s="61" customFormat="1">
      <c r="E55" s="83"/>
      <c r="F55" s="151"/>
      <c r="G55" s="8"/>
    </row>
    <row r="56" spans="5:7" s="61" customFormat="1">
      <c r="E56" s="83" t="s">
        <v>43</v>
      </c>
      <c r="F56" s="151">
        <f>43800+180000</f>
        <v>223800</v>
      </c>
      <c r="G56" s="8"/>
    </row>
    <row r="57" spans="5:7" s="61" customFormat="1">
      <c r="E57" s="83" t="s">
        <v>44</v>
      </c>
      <c r="F57" s="151">
        <f>100000+350000-20000-40000</f>
        <v>390000</v>
      </c>
      <c r="G57" s="8"/>
    </row>
    <row r="58" spans="5:7" s="61" customFormat="1">
      <c r="E58" s="83" t="s">
        <v>91</v>
      </c>
      <c r="F58" s="95">
        <v>0</v>
      </c>
      <c r="G58" s="8"/>
    </row>
    <row r="59" spans="5:7" s="61" customFormat="1">
      <c r="E59" s="96" t="s">
        <v>46</v>
      </c>
      <c r="F59" s="99">
        <f>SUM(F56:F58)</f>
        <v>613800</v>
      </c>
      <c r="G59" s="82"/>
    </row>
    <row r="60" spans="5:7" s="61" customFormat="1">
      <c r="E60" s="83"/>
      <c r="F60" s="151"/>
      <c r="G60" s="82"/>
    </row>
    <row r="61" spans="5:7" s="61" customFormat="1">
      <c r="E61" s="96" t="s">
        <v>47</v>
      </c>
      <c r="F61" s="99">
        <f>F54-F59</f>
        <v>543309.35000000009</v>
      </c>
      <c r="G61" s="82"/>
    </row>
  </sheetData>
  <mergeCells count="21"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G20:H20"/>
    <mergeCell ref="B29:D29"/>
    <mergeCell ref="B30:D30"/>
    <mergeCell ref="G26:H26"/>
    <mergeCell ref="B24:D24"/>
    <mergeCell ref="B25:D25"/>
    <mergeCell ref="B26:D26"/>
    <mergeCell ref="B27:D27"/>
    <mergeCell ref="B28:D28"/>
    <mergeCell ref="G24:K24"/>
  </mergeCells>
  <pageMargins left="0.7" right="0.7" top="0.75" bottom="0.75" header="0.3" footer="0.3"/>
  <drawing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5143B-1C36-48D1-B909-E68F2B33D8DC}">
  <dimension ref="B6:P61"/>
  <sheetViews>
    <sheetView showGridLines="0" topLeftCell="A10" workbookViewId="0">
      <selection activeCell="A10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8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9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198194.56</v>
      </c>
      <c r="F14" s="149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83273.899999999994</v>
      </c>
      <c r="F15" s="153">
        <f>E15+E16+E17</f>
        <v>198194.56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25454.79</v>
      </c>
      <c r="F16" s="153">
        <v>90000</v>
      </c>
      <c r="G16" s="22">
        <v>29117.39</v>
      </c>
      <c r="H16" s="23" t="s">
        <v>8</v>
      </c>
      <c r="I16" s="24"/>
      <c r="J16" s="25">
        <v>12957.19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89465.87</v>
      </c>
      <c r="F17" s="153">
        <f>F15-F16</f>
        <v>108194.56</v>
      </c>
      <c r="G17" s="22">
        <f>40380.7-10000</f>
        <v>30380.699999999997</v>
      </c>
      <c r="H17" s="29" t="s">
        <v>10</v>
      </c>
      <c r="I17" s="30"/>
      <c r="J17" s="25">
        <v>25457.74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1756482.3199999998</v>
      </c>
      <c r="F18" s="153"/>
      <c r="G18" s="22">
        <v>29967.78</v>
      </c>
      <c r="H18" s="29" t="s">
        <v>12</v>
      </c>
      <c r="I18" s="30"/>
      <c r="J18" s="25">
        <v>27159.53</v>
      </c>
      <c r="K18" s="31" t="s">
        <v>12</v>
      </c>
    </row>
    <row r="19" spans="2:11">
      <c r="B19" s="344" t="s">
        <v>13</v>
      </c>
      <c r="C19" s="345"/>
      <c r="D19" s="346"/>
      <c r="E19" s="20">
        <v>15696176.91</v>
      </c>
      <c r="F19" s="153"/>
      <c r="G19" s="33"/>
      <c r="H19" s="34"/>
      <c r="I19" s="30"/>
      <c r="J19" s="25">
        <v>17699.439999999999</v>
      </c>
      <c r="K19" s="31" t="s">
        <v>14</v>
      </c>
    </row>
    <row r="20" spans="2:11">
      <c r="B20" s="187" t="s">
        <v>15</v>
      </c>
      <c r="C20" s="188"/>
      <c r="D20" s="189"/>
      <c r="E20" s="190">
        <f>SUM(E21:E22)</f>
        <v>0</v>
      </c>
      <c r="F20" s="153"/>
      <c r="G20" s="361" t="s">
        <v>16</v>
      </c>
      <c r="H20" s="362"/>
      <c r="I20" s="36"/>
      <c r="J20" s="37"/>
      <c r="K20" s="38"/>
    </row>
    <row r="21" spans="2:11">
      <c r="B21" s="193"/>
      <c r="C21" s="194"/>
      <c r="D21" s="191"/>
      <c r="E21" s="35">
        <v>0</v>
      </c>
      <c r="F21" s="80"/>
      <c r="G21" s="44">
        <v>13748.28</v>
      </c>
      <c r="H21" s="29" t="s">
        <v>10</v>
      </c>
      <c r="I21" s="30"/>
      <c r="J21" s="37"/>
      <c r="K21" s="45"/>
    </row>
    <row r="22" spans="2:11">
      <c r="B22" s="195"/>
      <c r="C22" s="196"/>
      <c r="D22" s="191"/>
      <c r="E22" s="43">
        <v>0</v>
      </c>
      <c r="F22" s="80"/>
      <c r="G22" s="44">
        <v>11706.51</v>
      </c>
      <c r="H22" s="29" t="s">
        <v>18</v>
      </c>
      <c r="I22" s="30"/>
      <c r="J22" s="50"/>
      <c r="K22" s="38"/>
    </row>
    <row r="23" spans="2:11" ht="15" thickBot="1">
      <c r="B23" s="46" t="s">
        <v>17</v>
      </c>
      <c r="C23" s="47"/>
      <c r="D23" s="48"/>
      <c r="E23" s="49">
        <v>0</v>
      </c>
      <c r="F23" s="158">
        <f>SUM(E23:E30)</f>
        <v>242259.4</v>
      </c>
      <c r="G23" s="51"/>
      <c r="H23" s="34"/>
      <c r="I23" s="30"/>
      <c r="J23" s="52"/>
      <c r="K23" s="53"/>
    </row>
    <row r="24" spans="2:11" ht="15" thickBot="1">
      <c r="B24" s="366" t="s">
        <v>116</v>
      </c>
      <c r="C24" s="367"/>
      <c r="D24" s="368"/>
      <c r="E24" s="49">
        <v>26400</v>
      </c>
      <c r="F24" s="148">
        <f>+F17-F23</f>
        <v>-134064.84</v>
      </c>
      <c r="G24" s="331" t="s">
        <v>21</v>
      </c>
      <c r="H24" s="332"/>
      <c r="I24" s="332"/>
      <c r="J24" s="332"/>
      <c r="K24" s="333"/>
    </row>
    <row r="25" spans="2:11">
      <c r="B25" s="344" t="s">
        <v>154</v>
      </c>
      <c r="C25" s="345"/>
      <c r="D25" s="346"/>
      <c r="E25" s="49">
        <v>0</v>
      </c>
      <c r="F25" s="80"/>
      <c r="G25" s="54"/>
      <c r="H25" s="55"/>
      <c r="I25" s="56"/>
      <c r="J25" s="57"/>
      <c r="K25" s="58"/>
    </row>
    <row r="26" spans="2:11">
      <c r="B26" s="344" t="s">
        <v>23</v>
      </c>
      <c r="C26" s="345"/>
      <c r="D26" s="346"/>
      <c r="E26" s="49">
        <v>0</v>
      </c>
      <c r="F26" s="148"/>
      <c r="G26" s="347" t="s">
        <v>5</v>
      </c>
      <c r="H26" s="348"/>
      <c r="I26" s="59"/>
      <c r="J26" s="60"/>
      <c r="K26" s="45"/>
    </row>
    <row r="27" spans="2:11">
      <c r="B27" s="344" t="s">
        <v>22</v>
      </c>
      <c r="C27" s="345"/>
      <c r="D27" s="346"/>
      <c r="E27" s="49">
        <v>135859.4</v>
      </c>
      <c r="F27" s="148">
        <v>0</v>
      </c>
      <c r="G27" s="22">
        <f>31676.65-11500</f>
        <v>20176.650000000001</v>
      </c>
      <c r="H27" s="62" t="s">
        <v>9</v>
      </c>
      <c r="I27" s="59"/>
      <c r="J27" s="60"/>
      <c r="K27" s="45"/>
    </row>
    <row r="28" spans="2:11">
      <c r="B28" s="344" t="s">
        <v>24</v>
      </c>
      <c r="C28" s="345"/>
      <c r="D28" s="346"/>
      <c r="E28" s="49">
        <f>65000+15000</f>
        <v>80000</v>
      </c>
      <c r="F28" s="148">
        <v>0</v>
      </c>
      <c r="G28" s="22">
        <v>312356.5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344" t="s">
        <v>25</v>
      </c>
      <c r="C29" s="345"/>
      <c r="D29" s="346"/>
      <c r="E29" s="49">
        <v>0</v>
      </c>
      <c r="F29" s="148">
        <v>0</v>
      </c>
      <c r="G29" s="67">
        <v>121386.52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63" t="s">
        <v>29</v>
      </c>
      <c r="C30" s="364"/>
      <c r="D30" s="365"/>
      <c r="E30" s="66">
        <v>0</v>
      </c>
      <c r="F30" s="80">
        <f>SUM(F26:F29)</f>
        <v>0</v>
      </c>
      <c r="G30" s="71">
        <v>1302562.6499999999</v>
      </c>
      <c r="H30" s="72" t="s">
        <v>12</v>
      </c>
      <c r="I30" s="73"/>
      <c r="J30" s="74" t="s">
        <v>32</v>
      </c>
      <c r="K30" s="75" t="s">
        <v>33</v>
      </c>
    </row>
    <row r="34" spans="5:7">
      <c r="E34" s="161" t="s">
        <v>155</v>
      </c>
      <c r="F34" s="162"/>
      <c r="G34" s="8"/>
    </row>
    <row r="35" spans="5:7">
      <c r="E35" s="161"/>
      <c r="F35" s="162"/>
      <c r="G35" s="8"/>
    </row>
    <row r="36" spans="5:7">
      <c r="E36" s="61" t="s">
        <v>34</v>
      </c>
      <c r="F36" s="162">
        <f>F17</f>
        <v>108194.56</v>
      </c>
      <c r="G36" s="8"/>
    </row>
    <row r="37" spans="5:7">
      <c r="E37" s="61" t="s">
        <v>35</v>
      </c>
      <c r="F37" s="197">
        <f>+E18</f>
        <v>1756482.3199999998</v>
      </c>
      <c r="G37" s="8"/>
    </row>
    <row r="38" spans="5:7" s="61" customFormat="1" ht="15" customHeight="1">
      <c r="E38" s="61" t="s">
        <v>36</v>
      </c>
      <c r="F38" s="162">
        <v>0</v>
      </c>
      <c r="G38" s="86">
        <v>1659693.86</v>
      </c>
    </row>
    <row r="39" spans="5:7" s="61" customFormat="1" ht="15" customHeight="1">
      <c r="E39" s="61" t="s">
        <v>37</v>
      </c>
      <c r="F39" s="162">
        <v>0</v>
      </c>
      <c r="G39" s="86">
        <v>480000</v>
      </c>
    </row>
    <row r="40" spans="5:7" s="61" customFormat="1" ht="15" customHeight="1">
      <c r="E40" s="163" t="s">
        <v>38</v>
      </c>
      <c r="F40" s="164">
        <f>SUM(F36:F39)</f>
        <v>1864676.88</v>
      </c>
      <c r="G40" s="86"/>
    </row>
    <row r="41" spans="5:7" s="61" customFormat="1" ht="15" customHeight="1">
      <c r="E41" s="165"/>
      <c r="F41" s="166"/>
      <c r="G41" s="86"/>
    </row>
    <row r="42" spans="5:7" s="61" customFormat="1" ht="15" customHeight="1">
      <c r="E42" s="89" t="s">
        <v>146</v>
      </c>
      <c r="F42" s="93">
        <v>90000</v>
      </c>
      <c r="G42" s="9"/>
    </row>
    <row r="43" spans="5:7" s="61" customFormat="1" ht="15" customHeight="1">
      <c r="E43" s="87" t="s">
        <v>52</v>
      </c>
      <c r="F43" s="39">
        <v>25000</v>
      </c>
      <c r="G43" s="9"/>
    </row>
    <row r="44" spans="5:7" s="61" customFormat="1" ht="15" customHeight="1">
      <c r="E44" s="89" t="s">
        <v>116</v>
      </c>
      <c r="F44" s="93">
        <v>26400</v>
      </c>
      <c r="G44" s="8"/>
    </row>
    <row r="45" spans="5:7" s="61" customFormat="1" ht="15" customHeight="1">
      <c r="E45" s="89" t="s">
        <v>64</v>
      </c>
      <c r="F45" s="93">
        <v>140000</v>
      </c>
      <c r="G45" s="8"/>
    </row>
    <row r="46" spans="5:7" s="61" customFormat="1" ht="15" customHeight="1">
      <c r="E46" s="91" t="s">
        <v>24</v>
      </c>
      <c r="F46" s="95">
        <f>65000+15000</f>
        <v>80000</v>
      </c>
      <c r="G46" s="8"/>
    </row>
    <row r="47" spans="5:7" s="61" customFormat="1" ht="15" customHeight="1">
      <c r="E47" s="91" t="s">
        <v>39</v>
      </c>
      <c r="F47" s="95">
        <v>2000</v>
      </c>
      <c r="G47" s="8"/>
    </row>
    <row r="48" spans="5:7" s="61" customFormat="1" ht="15" customHeight="1">
      <c r="E48" s="91" t="s">
        <v>22</v>
      </c>
      <c r="F48" s="95">
        <v>25000</v>
      </c>
      <c r="G48" s="8"/>
    </row>
    <row r="49" spans="5:7" s="61" customFormat="1" ht="15" customHeight="1">
      <c r="E49" s="91" t="s">
        <v>53</v>
      </c>
      <c r="F49" s="95">
        <v>0</v>
      </c>
      <c r="G49" s="174">
        <v>134250.92000000001</v>
      </c>
    </row>
    <row r="50" spans="5:7" s="61" customFormat="1" ht="15" customHeight="1">
      <c r="E50" s="91" t="s">
        <v>40</v>
      </c>
      <c r="F50" s="93">
        <f>120000-80000+40000</f>
        <v>80000</v>
      </c>
      <c r="G50" s="8"/>
    </row>
    <row r="51" spans="5:7" s="61" customFormat="1" ht="15" customHeight="1">
      <c r="E51" s="91" t="s">
        <v>136</v>
      </c>
      <c r="F51" s="93">
        <v>150000</v>
      </c>
      <c r="G51" s="8"/>
    </row>
    <row r="52" spans="5:7" s="61" customFormat="1">
      <c r="E52" s="91" t="s">
        <v>145</v>
      </c>
      <c r="F52" s="93">
        <v>134250.92000000001</v>
      </c>
      <c r="G52" s="8"/>
    </row>
    <row r="53" spans="5:7" s="61" customFormat="1">
      <c r="E53" s="96" t="s">
        <v>41</v>
      </c>
      <c r="F53" s="97">
        <f>SUM(F42:F52)</f>
        <v>752650.92</v>
      </c>
      <c r="G53" s="8"/>
    </row>
    <row r="54" spans="5:7" s="61" customFormat="1">
      <c r="E54" s="118" t="s">
        <v>42</v>
      </c>
      <c r="F54" s="119">
        <f>F40-F53</f>
        <v>1112025.96</v>
      </c>
      <c r="G54" s="8"/>
    </row>
    <row r="55" spans="5:7" s="61" customFormat="1">
      <c r="E55" s="82"/>
      <c r="F55" s="80"/>
      <c r="G55" s="8"/>
    </row>
    <row r="56" spans="5:7" s="61" customFormat="1">
      <c r="E56" s="82" t="s">
        <v>43</v>
      </c>
      <c r="F56" s="80">
        <f>43800+180000</f>
        <v>223800</v>
      </c>
      <c r="G56" s="8"/>
    </row>
    <row r="57" spans="5:7" s="61" customFormat="1">
      <c r="E57" s="82" t="s">
        <v>44</v>
      </c>
      <c r="F57" s="80">
        <f>100000+350000-20000-40000</f>
        <v>390000</v>
      </c>
      <c r="G57" s="8"/>
    </row>
    <row r="58" spans="5:7" s="61" customFormat="1">
      <c r="E58" s="82" t="s">
        <v>91</v>
      </c>
      <c r="F58" s="117">
        <v>0</v>
      </c>
      <c r="G58" s="8"/>
    </row>
    <row r="59" spans="5:7" s="61" customFormat="1">
      <c r="E59" s="118" t="s">
        <v>46</v>
      </c>
      <c r="F59" s="120">
        <f>SUM(F56:F58)</f>
        <v>613800</v>
      </c>
      <c r="G59" s="82"/>
    </row>
    <row r="60" spans="5:7" s="61" customFormat="1">
      <c r="E60" s="82"/>
      <c r="F60" s="80"/>
      <c r="G60" s="82"/>
    </row>
    <row r="61" spans="5:7" s="61" customFormat="1">
      <c r="E61" s="118" t="s">
        <v>47</v>
      </c>
      <c r="F61" s="120">
        <f>F54-F59</f>
        <v>498225.95999999996</v>
      </c>
      <c r="G61" s="82"/>
    </row>
  </sheetData>
  <mergeCells count="21">
    <mergeCell ref="B30:D30"/>
    <mergeCell ref="B25:D25"/>
    <mergeCell ref="B26:D26"/>
    <mergeCell ref="G26:H26"/>
    <mergeCell ref="B27:D27"/>
    <mergeCell ref="B28:D28"/>
    <mergeCell ref="B29:D29"/>
    <mergeCell ref="B24:D24"/>
    <mergeCell ref="G24:K24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G20:H20"/>
  </mergeCells>
  <pageMargins left="0.7" right="0.7" top="0.75" bottom="0.75" header="0.3" footer="0.3"/>
  <drawing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D2399-E7B8-4F38-8E0A-68E93A6C90FB}">
  <dimension ref="B6:P64"/>
  <sheetViews>
    <sheetView showGridLines="0" topLeftCell="A11" workbookViewId="0">
      <selection activeCell="A11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1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1" ht="18" thickBot="1">
      <c r="B12" s="331" t="s">
        <v>2</v>
      </c>
      <c r="C12" s="332"/>
      <c r="D12" s="332"/>
      <c r="E12" s="333"/>
      <c r="F12" s="186"/>
      <c r="G12" s="1"/>
      <c r="H12" s="1"/>
      <c r="I12" s="1"/>
      <c r="J12" s="1"/>
      <c r="K12" s="1"/>
    </row>
    <row r="13" spans="2:11" ht="18" thickBot="1">
      <c r="B13" s="1"/>
      <c r="C13" s="1"/>
      <c r="D13" s="1"/>
      <c r="E13" s="1"/>
      <c r="F13" s="149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524625.28</v>
      </c>
      <c r="F14" s="149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317799.62</v>
      </c>
      <c r="F15" s="153">
        <f>E15+E16+E17</f>
        <v>524625.28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25454.79</v>
      </c>
      <c r="F16" s="153">
        <v>90000</v>
      </c>
      <c r="G16" s="22">
        <v>28821.59</v>
      </c>
      <c r="H16" s="23" t="s">
        <v>8</v>
      </c>
      <c r="I16" s="24"/>
      <c r="J16" s="25">
        <v>136991.43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181370.87</v>
      </c>
      <c r="F17" s="153">
        <f>F15-F16</f>
        <v>434625.28000000003</v>
      </c>
      <c r="G17" s="22">
        <v>24193.3</v>
      </c>
      <c r="H17" s="29" t="s">
        <v>10</v>
      </c>
      <c r="I17" s="30"/>
      <c r="J17" s="25">
        <v>65815.22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1232802.49</v>
      </c>
      <c r="F18" s="153"/>
      <c r="G18" s="22">
        <v>128355.98</v>
      </c>
      <c r="H18" s="29" t="s">
        <v>12</v>
      </c>
      <c r="I18" s="30"/>
      <c r="J18" s="25">
        <v>20478.62</v>
      </c>
      <c r="K18" s="31" t="s">
        <v>12</v>
      </c>
    </row>
    <row r="19" spans="2:11">
      <c r="B19" s="344" t="s">
        <v>13</v>
      </c>
      <c r="C19" s="345"/>
      <c r="D19" s="346"/>
      <c r="E19" s="20">
        <v>15696176.91</v>
      </c>
      <c r="F19" s="153"/>
      <c r="G19" s="33"/>
      <c r="H19" s="34"/>
      <c r="I19" s="30"/>
      <c r="J19" s="25">
        <v>94514.35</v>
      </c>
      <c r="K19" s="31" t="s">
        <v>14</v>
      </c>
    </row>
    <row r="20" spans="2:11">
      <c r="B20" s="187" t="s">
        <v>15</v>
      </c>
      <c r="C20" s="188"/>
      <c r="D20" s="189"/>
      <c r="E20" s="190">
        <f>SUM(E21:E25)</f>
        <v>238267.47</v>
      </c>
      <c r="F20" s="153"/>
      <c r="G20" s="361" t="s">
        <v>16</v>
      </c>
      <c r="H20" s="362"/>
      <c r="I20" s="36"/>
      <c r="J20" s="37"/>
      <c r="K20" s="38"/>
    </row>
    <row r="21" spans="2:11">
      <c r="B21" s="187"/>
      <c r="C21" s="188"/>
      <c r="D21" s="198" t="s">
        <v>118</v>
      </c>
      <c r="E21" s="190">
        <v>40357.480000000003</v>
      </c>
      <c r="F21" s="153"/>
      <c r="G21" s="44">
        <v>13748.28</v>
      </c>
      <c r="H21" s="29" t="s">
        <v>10</v>
      </c>
      <c r="I21" s="30"/>
      <c r="J21" s="37"/>
      <c r="K21" s="45"/>
    </row>
    <row r="22" spans="2:11">
      <c r="B22" s="187"/>
      <c r="C22" s="188"/>
      <c r="D22" s="198" t="s">
        <v>118</v>
      </c>
      <c r="E22" s="190">
        <v>124034.24000000001</v>
      </c>
      <c r="F22" s="153"/>
      <c r="G22" s="44">
        <v>11706.51</v>
      </c>
      <c r="H22" s="29" t="s">
        <v>18</v>
      </c>
      <c r="I22" s="30"/>
      <c r="J22" s="50"/>
      <c r="K22" s="38"/>
    </row>
    <row r="23" spans="2:11" ht="15" thickBot="1">
      <c r="B23" s="187"/>
      <c r="C23" s="188"/>
      <c r="D23" s="198" t="s">
        <v>118</v>
      </c>
      <c r="E23" s="190">
        <v>57783.24</v>
      </c>
      <c r="F23" s="153"/>
      <c r="G23" s="51"/>
      <c r="H23" s="34"/>
      <c r="I23" s="30"/>
      <c r="J23" s="52"/>
      <c r="K23" s="53"/>
    </row>
    <row r="24" spans="2:11" ht="15" thickBot="1">
      <c r="B24" s="193"/>
      <c r="C24" s="194"/>
      <c r="D24" s="191" t="s">
        <v>156</v>
      </c>
      <c r="E24" s="35">
        <v>16092.51</v>
      </c>
      <c r="F24" s="80"/>
      <c r="G24" s="331" t="s">
        <v>21</v>
      </c>
      <c r="H24" s="332"/>
      <c r="I24" s="332"/>
      <c r="J24" s="332"/>
      <c r="K24" s="333"/>
    </row>
    <row r="25" spans="2:11">
      <c r="B25" s="195"/>
      <c r="C25" s="196"/>
      <c r="D25" s="191"/>
      <c r="E25" s="43">
        <v>0</v>
      </c>
      <c r="F25" s="80"/>
      <c r="G25" s="54"/>
      <c r="H25" s="55"/>
      <c r="I25" s="56"/>
      <c r="J25" s="57"/>
      <c r="K25" s="58"/>
    </row>
    <row r="26" spans="2:11">
      <c r="B26" s="46" t="s">
        <v>17</v>
      </c>
      <c r="C26" s="47"/>
      <c r="D26" s="48"/>
      <c r="E26" s="49">
        <f>1000+1856</f>
        <v>2856</v>
      </c>
      <c r="F26" s="158">
        <f>SUM(E26:E33)</f>
        <v>27856</v>
      </c>
      <c r="G26" s="347" t="s">
        <v>5</v>
      </c>
      <c r="H26" s="348"/>
      <c r="I26" s="59"/>
      <c r="J26" s="60"/>
      <c r="K26" s="45"/>
    </row>
    <row r="27" spans="2:11">
      <c r="B27" s="366" t="s">
        <v>52</v>
      </c>
      <c r="C27" s="367"/>
      <c r="D27" s="368"/>
      <c r="E27" s="49">
        <v>25000</v>
      </c>
      <c r="F27" s="148">
        <f>+F17-F26</f>
        <v>406769.28</v>
      </c>
      <c r="G27" s="22">
        <f>31680.29-11500</f>
        <v>20180.29</v>
      </c>
      <c r="H27" s="62" t="s">
        <v>9</v>
      </c>
      <c r="I27" s="59"/>
      <c r="J27" s="60"/>
      <c r="K27" s="45"/>
    </row>
    <row r="28" spans="2:11">
      <c r="B28" s="344" t="s">
        <v>154</v>
      </c>
      <c r="C28" s="345"/>
      <c r="D28" s="346"/>
      <c r="E28" s="49">
        <v>0</v>
      </c>
      <c r="F28" s="80"/>
      <c r="G28" s="22">
        <v>312395.18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344" t="s">
        <v>23</v>
      </c>
      <c r="C29" s="345"/>
      <c r="D29" s="346"/>
      <c r="E29" s="49">
        <v>0</v>
      </c>
      <c r="F29" s="148"/>
      <c r="G29" s="67">
        <v>51391.49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22</v>
      </c>
      <c r="C30" s="345"/>
      <c r="D30" s="346"/>
      <c r="E30" s="49">
        <v>0</v>
      </c>
      <c r="F30" s="148">
        <v>0</v>
      </c>
      <c r="G30" s="71">
        <f>1102861.06-254025.53</f>
        <v>848835.53</v>
      </c>
      <c r="H30" s="72" t="s">
        <v>12</v>
      </c>
      <c r="I30" s="73"/>
      <c r="J30" s="74" t="s">
        <v>32</v>
      </c>
      <c r="K30" s="75" t="s">
        <v>33</v>
      </c>
    </row>
    <row r="31" spans="2:11">
      <c r="B31" s="344" t="s">
        <v>24</v>
      </c>
      <c r="C31" s="345"/>
      <c r="D31" s="346"/>
      <c r="E31" s="49">
        <v>0</v>
      </c>
      <c r="F31" s="148">
        <v>0</v>
      </c>
      <c r="G31" s="76"/>
      <c r="H31" s="76"/>
      <c r="I31" s="76"/>
      <c r="J31" s="76"/>
      <c r="K31" s="1"/>
    </row>
    <row r="32" spans="2:11">
      <c r="B32" s="344" t="s">
        <v>25</v>
      </c>
      <c r="C32" s="345"/>
      <c r="D32" s="346"/>
      <c r="E32" s="49">
        <v>0</v>
      </c>
      <c r="F32" s="148">
        <v>0</v>
      </c>
    </row>
    <row r="33" spans="2:11" ht="15" thickBot="1">
      <c r="B33" s="363" t="s">
        <v>29</v>
      </c>
      <c r="C33" s="364"/>
      <c r="D33" s="365"/>
      <c r="E33" s="66">
        <v>0</v>
      </c>
      <c r="F33" s="80">
        <f>SUM(F29:F32)</f>
        <v>0</v>
      </c>
      <c r="G33" s="8"/>
      <c r="H33" s="61"/>
      <c r="I33" s="61"/>
      <c r="J33" s="61"/>
      <c r="K33" s="61"/>
    </row>
    <row r="34" spans="2:11">
      <c r="B34" s="69"/>
      <c r="C34" s="69"/>
      <c r="D34" s="70"/>
      <c r="E34" s="70"/>
      <c r="F34" s="151"/>
      <c r="G34" s="8"/>
      <c r="H34" s="61"/>
      <c r="I34" s="61"/>
      <c r="J34" s="61"/>
      <c r="K34" s="78"/>
    </row>
    <row r="35" spans="2:11">
      <c r="E35" s="61"/>
      <c r="F35" s="151"/>
      <c r="G35" s="8"/>
      <c r="H35" s="61"/>
      <c r="I35" s="61"/>
      <c r="J35" s="61"/>
      <c r="K35" s="78"/>
    </row>
    <row r="36" spans="2:11">
      <c r="E36" s="61"/>
      <c r="F36" s="160"/>
      <c r="G36" s="8"/>
      <c r="H36" s="61"/>
      <c r="I36" s="61"/>
      <c r="J36" s="61"/>
      <c r="K36" s="83"/>
    </row>
    <row r="37" spans="2:11">
      <c r="B37" s="61"/>
      <c r="C37" s="61"/>
      <c r="D37" s="83"/>
      <c r="E37" s="161" t="s">
        <v>155</v>
      </c>
      <c r="F37" s="162"/>
      <c r="G37" s="8"/>
      <c r="H37" s="61"/>
      <c r="I37" s="61"/>
      <c r="J37" s="61"/>
      <c r="K37" s="83"/>
    </row>
    <row r="38" spans="2:11" s="61" customFormat="1" ht="15" customHeight="1">
      <c r="D38" s="83"/>
      <c r="E38" s="161"/>
      <c r="F38" s="162"/>
      <c r="G38" s="86">
        <v>1659693.86</v>
      </c>
      <c r="H38" s="98"/>
      <c r="J38" s="105"/>
      <c r="K38" s="83"/>
    </row>
    <row r="39" spans="2:11" s="61" customFormat="1" ht="15" customHeight="1">
      <c r="D39" s="83"/>
      <c r="E39" s="61" t="s">
        <v>34</v>
      </c>
      <c r="F39" s="162">
        <f>F17</f>
        <v>434625.28000000003</v>
      </c>
      <c r="G39" s="86">
        <v>480000</v>
      </c>
      <c r="H39" s="98"/>
      <c r="I39" s="98"/>
      <c r="K39" s="83"/>
    </row>
    <row r="40" spans="2:11" s="61" customFormat="1" ht="15" customHeight="1">
      <c r="D40" s="83"/>
      <c r="E40" s="61" t="s">
        <v>35</v>
      </c>
      <c r="F40" s="197">
        <f>+E18</f>
        <v>1232802.49</v>
      </c>
      <c r="G40" s="86"/>
      <c r="H40" s="98"/>
      <c r="I40" s="98"/>
      <c r="K40" s="85"/>
    </row>
    <row r="41" spans="2:11" s="61" customFormat="1" ht="15" customHeight="1">
      <c r="D41" s="83"/>
      <c r="E41" s="61" t="s">
        <v>36</v>
      </c>
      <c r="F41" s="162">
        <v>0</v>
      </c>
      <c r="G41" s="86"/>
      <c r="H41" s="98"/>
      <c r="J41" s="13"/>
      <c r="K41" s="87"/>
    </row>
    <row r="42" spans="2:11" s="61" customFormat="1" ht="15" customHeight="1">
      <c r="D42" s="83"/>
      <c r="E42" s="61" t="s">
        <v>37</v>
      </c>
      <c r="F42" s="162">
        <v>0</v>
      </c>
      <c r="G42" s="9"/>
      <c r="H42" s="98"/>
      <c r="J42" s="13"/>
    </row>
    <row r="43" spans="2:11" s="61" customFormat="1" ht="15" customHeight="1">
      <c r="D43" s="83"/>
      <c r="E43" s="163" t="s">
        <v>38</v>
      </c>
      <c r="F43" s="164">
        <f>SUM(F39:F42)</f>
        <v>1667427.77</v>
      </c>
      <c r="G43" s="9"/>
      <c r="H43" s="98"/>
      <c r="J43" s="13"/>
    </row>
    <row r="44" spans="2:11" s="61" customFormat="1" ht="15" customHeight="1">
      <c r="D44" s="83"/>
      <c r="E44" s="165"/>
      <c r="F44" s="166"/>
      <c r="G44" s="8"/>
      <c r="H44" s="98"/>
      <c r="J44" s="13"/>
    </row>
    <row r="45" spans="2:11" s="61" customFormat="1" ht="15" customHeight="1">
      <c r="D45" s="83"/>
      <c r="E45" s="89" t="s">
        <v>146</v>
      </c>
      <c r="F45" s="93">
        <v>90000</v>
      </c>
      <c r="G45" s="8"/>
      <c r="H45" s="98"/>
      <c r="J45" s="13"/>
      <c r="K45" s="32"/>
    </row>
    <row r="46" spans="2:11" s="61" customFormat="1" ht="15" customHeight="1">
      <c r="D46" s="83"/>
      <c r="E46" s="87" t="s">
        <v>52</v>
      </c>
      <c r="F46" s="39">
        <v>25000</v>
      </c>
      <c r="G46" s="8"/>
      <c r="H46" s="151"/>
    </row>
    <row r="47" spans="2:11" s="61" customFormat="1" ht="15" customHeight="1">
      <c r="D47" s="83"/>
      <c r="E47" s="89" t="s">
        <v>116</v>
      </c>
      <c r="F47" s="93">
        <v>0</v>
      </c>
      <c r="G47" s="8"/>
      <c r="H47" s="83"/>
    </row>
    <row r="48" spans="2:11" s="61" customFormat="1" ht="15" customHeight="1">
      <c r="D48" s="83"/>
      <c r="E48" s="89" t="s">
        <v>64</v>
      </c>
      <c r="F48" s="93">
        <v>140000</v>
      </c>
      <c r="G48" s="8"/>
      <c r="H48" s="83"/>
    </row>
    <row r="49" spans="5:7" s="61" customFormat="1" ht="15" customHeight="1">
      <c r="E49" s="91" t="s">
        <v>24</v>
      </c>
      <c r="F49" s="95">
        <v>0</v>
      </c>
      <c r="G49" s="174">
        <v>134250.92000000001</v>
      </c>
    </row>
    <row r="50" spans="5:7" s="61" customFormat="1" ht="15" customHeight="1">
      <c r="E50" s="91" t="s">
        <v>39</v>
      </c>
      <c r="F50" s="95">
        <v>2000</v>
      </c>
      <c r="G50" s="8"/>
    </row>
    <row r="51" spans="5:7" s="61" customFormat="1" ht="15" customHeight="1">
      <c r="E51" s="91" t="s">
        <v>22</v>
      </c>
      <c r="F51" s="95">
        <v>25000</v>
      </c>
      <c r="G51" s="8"/>
    </row>
    <row r="52" spans="5:7" s="61" customFormat="1">
      <c r="E52" s="91" t="s">
        <v>53</v>
      </c>
      <c r="F52" s="95">
        <v>0</v>
      </c>
      <c r="G52" s="8"/>
    </row>
    <row r="53" spans="5:7" s="61" customFormat="1">
      <c r="E53" s="91" t="s">
        <v>40</v>
      </c>
      <c r="F53" s="93">
        <f>120000-80000+40000</f>
        <v>80000</v>
      </c>
      <c r="G53" s="8"/>
    </row>
    <row r="54" spans="5:7" s="61" customFormat="1">
      <c r="E54" s="91" t="s">
        <v>136</v>
      </c>
      <c r="F54" s="93">
        <v>0</v>
      </c>
      <c r="G54" s="8"/>
    </row>
    <row r="55" spans="5:7" s="61" customFormat="1">
      <c r="E55" s="91" t="s">
        <v>145</v>
      </c>
      <c r="F55" s="93">
        <v>254025.53</v>
      </c>
      <c r="G55" s="8"/>
    </row>
    <row r="56" spans="5:7" s="61" customFormat="1">
      <c r="E56" s="96" t="s">
        <v>41</v>
      </c>
      <c r="F56" s="97">
        <f>SUM(F45:F55)</f>
        <v>616025.53</v>
      </c>
      <c r="G56" s="8"/>
    </row>
    <row r="57" spans="5:7" s="61" customFormat="1">
      <c r="E57" s="96" t="s">
        <v>42</v>
      </c>
      <c r="F57" s="97">
        <f>F43-F56</f>
        <v>1051402.24</v>
      </c>
      <c r="G57" s="8"/>
    </row>
    <row r="58" spans="5:7" s="61" customFormat="1">
      <c r="E58" s="83"/>
      <c r="F58" s="151"/>
      <c r="G58" s="8"/>
    </row>
    <row r="59" spans="5:7" s="61" customFormat="1">
      <c r="E59" s="83" t="s">
        <v>43</v>
      </c>
      <c r="F59" s="151">
        <f>43800+180000</f>
        <v>223800</v>
      </c>
      <c r="G59" s="82"/>
    </row>
    <row r="60" spans="5:7" s="61" customFormat="1">
      <c r="E60" s="83" t="s">
        <v>44</v>
      </c>
      <c r="F60" s="151">
        <f>100000+350000-20000-40000</f>
        <v>390000</v>
      </c>
      <c r="G60" s="82"/>
    </row>
    <row r="61" spans="5:7" s="61" customFormat="1">
      <c r="E61" s="83" t="s">
        <v>91</v>
      </c>
      <c r="F61" s="95">
        <v>0</v>
      </c>
      <c r="G61" s="82"/>
    </row>
    <row r="62" spans="5:7" s="61" customFormat="1">
      <c r="E62" s="96" t="s">
        <v>46</v>
      </c>
      <c r="F62" s="99">
        <f>SUM(F59:F61)</f>
        <v>613800</v>
      </c>
      <c r="G62" s="82"/>
    </row>
    <row r="63" spans="5:7" s="61" customFormat="1">
      <c r="E63" s="83"/>
      <c r="F63" s="151"/>
      <c r="G63" s="82"/>
    </row>
    <row r="64" spans="5:7">
      <c r="E64" s="118" t="s">
        <v>47</v>
      </c>
      <c r="F64" s="120">
        <f>F57-F62</f>
        <v>437602.24</v>
      </c>
      <c r="G64" s="61"/>
    </row>
  </sheetData>
  <mergeCells count="21">
    <mergeCell ref="G24:K24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G20:H20"/>
    <mergeCell ref="B33:D33"/>
    <mergeCell ref="B28:D28"/>
    <mergeCell ref="B29:D29"/>
    <mergeCell ref="G26:H26"/>
    <mergeCell ref="B30:D30"/>
    <mergeCell ref="B31:D31"/>
    <mergeCell ref="B32:D32"/>
    <mergeCell ref="B27:D27"/>
  </mergeCells>
  <pageMargins left="0.7" right="0.7" top="0.75" bottom="0.75" header="0.3" footer="0.3"/>
  <drawing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3BBE3-219B-46CE-845E-C8A10F42CE53}">
  <dimension ref="B6:P62"/>
  <sheetViews>
    <sheetView showGridLines="0" topLeftCell="A17" workbookViewId="0">
      <selection activeCell="A17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2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5"/>
      <c r="K6" s="5"/>
    </row>
    <row r="7" spans="2:12">
      <c r="B7" s="1"/>
      <c r="C7" s="1"/>
      <c r="D7" s="1"/>
      <c r="E7" s="1"/>
      <c r="F7" s="144"/>
      <c r="G7" s="1"/>
      <c r="H7" s="1"/>
      <c r="I7" s="1"/>
      <c r="J7" s="1"/>
      <c r="K7" s="1"/>
    </row>
    <row r="8" spans="2:12">
      <c r="B8" s="1"/>
      <c r="C8" s="1"/>
      <c r="D8" s="1"/>
      <c r="E8" s="1"/>
      <c r="F8" s="144"/>
      <c r="G8" s="1"/>
      <c r="H8" s="1"/>
      <c r="I8" s="4"/>
      <c r="J8" s="1"/>
      <c r="K8" s="76"/>
    </row>
    <row r="9" spans="2:12">
      <c r="B9" s="1"/>
      <c r="C9" s="1"/>
      <c r="D9" s="1"/>
      <c r="E9" s="1"/>
      <c r="F9" s="144"/>
      <c r="G9" s="1"/>
      <c r="H9" s="1"/>
      <c r="I9" s="4"/>
      <c r="J9" s="1"/>
      <c r="K9" s="1"/>
    </row>
    <row r="10" spans="2:12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1"/>
      <c r="K10" s="1"/>
    </row>
    <row r="11" spans="2:12" ht="15" thickBot="1">
      <c r="B11" s="1"/>
      <c r="C11" s="1"/>
      <c r="D11" s="1"/>
      <c r="E11" s="1"/>
      <c r="F11" s="144"/>
      <c r="G11" s="1"/>
      <c r="H11" s="1"/>
      <c r="I11" s="1"/>
      <c r="J11" s="1"/>
      <c r="K11" s="1"/>
    </row>
    <row r="12" spans="2:12" ht="18" thickBot="1">
      <c r="B12" s="331" t="s">
        <v>2</v>
      </c>
      <c r="C12" s="332"/>
      <c r="D12" s="332"/>
      <c r="E12" s="333"/>
      <c r="F12" s="186"/>
      <c r="G12" s="1"/>
      <c r="H12" s="1"/>
      <c r="I12" s="1"/>
      <c r="J12" s="1"/>
      <c r="K12" s="1"/>
      <c r="L12" s="13"/>
    </row>
    <row r="13" spans="2:12" ht="18" thickBot="1">
      <c r="B13" s="1"/>
      <c r="C13" s="1"/>
      <c r="D13" s="1"/>
      <c r="E13" s="1"/>
      <c r="F13" s="149"/>
      <c r="G13" s="11"/>
      <c r="H13" s="11"/>
      <c r="I13" s="11"/>
      <c r="J13" s="15"/>
      <c r="K13" s="16"/>
      <c r="L13" s="13"/>
    </row>
    <row r="14" spans="2:12" ht="15" thickBot="1">
      <c r="B14" s="334" t="s">
        <v>3</v>
      </c>
      <c r="C14" s="335"/>
      <c r="D14" s="336"/>
      <c r="E14" s="17">
        <f>SUM(E15:E17)</f>
        <v>543863.22</v>
      </c>
      <c r="F14" s="149"/>
      <c r="G14" s="331" t="s">
        <v>4</v>
      </c>
      <c r="H14" s="332"/>
      <c r="I14" s="332"/>
      <c r="J14" s="332"/>
      <c r="K14" s="333"/>
      <c r="L14" s="19"/>
    </row>
    <row r="15" spans="2:12">
      <c r="B15" s="337" t="s">
        <v>5</v>
      </c>
      <c r="C15" s="338"/>
      <c r="D15" s="339"/>
      <c r="E15" s="20">
        <f>J16+J17+J18+J19</f>
        <v>317151.32</v>
      </c>
      <c r="F15" s="153">
        <f>E15+E16+E17</f>
        <v>543863.22</v>
      </c>
      <c r="G15" s="340" t="s">
        <v>6</v>
      </c>
      <c r="H15" s="341"/>
      <c r="I15" s="21"/>
      <c r="J15" s="342" t="s">
        <v>5</v>
      </c>
      <c r="K15" s="343"/>
      <c r="L15" s="13"/>
    </row>
    <row r="16" spans="2:12">
      <c r="B16" s="349" t="s">
        <v>7</v>
      </c>
      <c r="C16" s="350"/>
      <c r="D16" s="351"/>
      <c r="E16" s="20">
        <f>G21+G22</f>
        <v>26208.79</v>
      </c>
      <c r="F16" s="153">
        <v>90000</v>
      </c>
      <c r="G16" s="22">
        <v>28821.59</v>
      </c>
      <c r="H16" s="23" t="s">
        <v>8</v>
      </c>
      <c r="I16" s="24"/>
      <c r="J16" s="25">
        <v>136991.43</v>
      </c>
      <c r="K16" s="26" t="s">
        <v>9</v>
      </c>
      <c r="L16" s="13">
        <v>39910.879999999997</v>
      </c>
    </row>
    <row r="17" spans="2:12">
      <c r="B17" s="352" t="s">
        <v>6</v>
      </c>
      <c r="C17" s="353"/>
      <c r="D17" s="354"/>
      <c r="E17" s="28">
        <f>G16+G17+G18</f>
        <v>200503.11</v>
      </c>
      <c r="F17" s="153">
        <f>F15-F16</f>
        <v>453863.22</v>
      </c>
      <c r="G17" s="22">
        <f>74068.35-10000</f>
        <v>64068.350000000006</v>
      </c>
      <c r="H17" s="29" t="s">
        <v>10</v>
      </c>
      <c r="I17" s="30"/>
      <c r="J17" s="25">
        <v>65815.22</v>
      </c>
      <c r="K17" s="31" t="s">
        <v>10</v>
      </c>
      <c r="L17" s="13">
        <v>13581.16</v>
      </c>
    </row>
    <row r="18" spans="2:12">
      <c r="B18" s="355" t="s">
        <v>11</v>
      </c>
      <c r="C18" s="356"/>
      <c r="D18" s="357"/>
      <c r="E18" s="20">
        <f>G28+G30+G29+G27</f>
        <v>1203143.33</v>
      </c>
      <c r="F18" s="150">
        <v>72955.47</v>
      </c>
      <c r="G18" s="22">
        <v>107613.17</v>
      </c>
      <c r="H18" s="29" t="s">
        <v>12</v>
      </c>
      <c r="I18" s="30"/>
      <c r="J18" s="25">
        <v>20478.62</v>
      </c>
      <c r="K18" s="31" t="s">
        <v>12</v>
      </c>
      <c r="L18" s="32"/>
    </row>
    <row r="19" spans="2:12">
      <c r="B19" s="344" t="s">
        <v>13</v>
      </c>
      <c r="C19" s="345"/>
      <c r="D19" s="346"/>
      <c r="E19" s="20">
        <f>17839591.98-754</f>
        <v>17838837.98</v>
      </c>
      <c r="F19" s="153"/>
      <c r="G19" s="33"/>
      <c r="H19" s="34"/>
      <c r="I19" s="30"/>
      <c r="J19" s="25">
        <v>93866.05</v>
      </c>
      <c r="K19" s="31" t="s">
        <v>14</v>
      </c>
      <c r="L19" s="13">
        <v>6321.59</v>
      </c>
    </row>
    <row r="20" spans="2:12">
      <c r="B20" s="187" t="s">
        <v>15</v>
      </c>
      <c r="C20" s="188"/>
      <c r="D20" s="189"/>
      <c r="E20" s="190">
        <f>SUM(E21:E23)</f>
        <v>754</v>
      </c>
      <c r="F20" s="153"/>
      <c r="G20" s="361" t="s">
        <v>16</v>
      </c>
      <c r="H20" s="362"/>
      <c r="I20" s="36"/>
      <c r="J20" s="37"/>
      <c r="K20" s="38"/>
      <c r="L20" s="39"/>
    </row>
    <row r="21" spans="2:12">
      <c r="B21" s="187"/>
      <c r="C21" s="188"/>
      <c r="D21" s="198" t="s">
        <v>157</v>
      </c>
      <c r="E21" s="190">
        <v>754</v>
      </c>
      <c r="F21" s="153"/>
      <c r="G21" s="44">
        <v>13748.28</v>
      </c>
      <c r="H21" s="29" t="s">
        <v>10</v>
      </c>
      <c r="I21" s="30"/>
      <c r="J21" s="37"/>
      <c r="K21" s="45"/>
      <c r="L21" s="39"/>
    </row>
    <row r="22" spans="2:12">
      <c r="B22" s="187"/>
      <c r="C22" s="188"/>
      <c r="D22" s="198"/>
      <c r="E22" s="190">
        <v>0</v>
      </c>
      <c r="F22" s="153"/>
      <c r="G22" s="44">
        <v>12460.51</v>
      </c>
      <c r="H22" s="29" t="s">
        <v>18</v>
      </c>
      <c r="I22" s="30"/>
      <c r="J22" s="50"/>
      <c r="K22" s="38"/>
      <c r="L22" s="39"/>
    </row>
    <row r="23" spans="2:12" ht="15" thickBot="1">
      <c r="B23" s="195"/>
      <c r="C23" s="196"/>
      <c r="D23" s="191"/>
      <c r="E23" s="49">
        <v>0</v>
      </c>
      <c r="F23" s="80"/>
      <c r="G23" s="51"/>
      <c r="H23" s="34"/>
      <c r="I23" s="30"/>
      <c r="J23" s="52"/>
      <c r="K23" s="53"/>
      <c r="L23" s="39"/>
    </row>
    <row r="24" spans="2:12" ht="15" thickBot="1">
      <c r="B24" s="46" t="s">
        <v>17</v>
      </c>
      <c r="C24" s="47"/>
      <c r="D24" s="48"/>
      <c r="E24" s="49">
        <f>220+132769.1</f>
        <v>132989.1</v>
      </c>
      <c r="F24" s="158">
        <f>SUM(E24:E31)</f>
        <v>143357.9</v>
      </c>
      <c r="G24" s="331" t="s">
        <v>21</v>
      </c>
      <c r="H24" s="332"/>
      <c r="I24" s="332"/>
      <c r="J24" s="332"/>
      <c r="K24" s="333"/>
      <c r="L24" s="39"/>
    </row>
    <row r="25" spans="2:12">
      <c r="B25" s="366" t="s">
        <v>52</v>
      </c>
      <c r="C25" s="367"/>
      <c r="D25" s="368"/>
      <c r="E25" s="49">
        <v>0</v>
      </c>
      <c r="F25" s="148">
        <f>+F17-F24</f>
        <v>310505.31999999995</v>
      </c>
      <c r="G25" s="54"/>
      <c r="H25" s="55"/>
      <c r="I25" s="56"/>
      <c r="J25" s="57"/>
      <c r="K25" s="58"/>
      <c r="L25" s="39"/>
    </row>
    <row r="26" spans="2:12">
      <c r="B26" s="344" t="s">
        <v>154</v>
      </c>
      <c r="C26" s="345"/>
      <c r="D26" s="346"/>
      <c r="E26" s="49">
        <v>0</v>
      </c>
      <c r="F26" s="80"/>
      <c r="G26" s="347" t="s">
        <v>5</v>
      </c>
      <c r="H26" s="348"/>
      <c r="I26" s="59"/>
      <c r="J26" s="60"/>
      <c r="K26" s="45"/>
      <c r="L26" s="61"/>
    </row>
    <row r="27" spans="2:12">
      <c r="B27" s="344" t="s">
        <v>23</v>
      </c>
      <c r="C27" s="345"/>
      <c r="D27" s="346"/>
      <c r="E27" s="49">
        <v>0</v>
      </c>
      <c r="F27" s="148"/>
      <c r="G27" s="22">
        <f>31683.95-11500</f>
        <v>20183.95</v>
      </c>
      <c r="H27" s="62" t="s">
        <v>9</v>
      </c>
      <c r="I27" s="59"/>
      <c r="J27" s="60"/>
      <c r="K27" s="45"/>
      <c r="L27" s="61"/>
    </row>
    <row r="28" spans="2:12">
      <c r="B28" s="344" t="s">
        <v>22</v>
      </c>
      <c r="C28" s="345"/>
      <c r="D28" s="346"/>
      <c r="E28" s="49">
        <v>10368.799999999999</v>
      </c>
      <c r="F28" s="148">
        <v>0</v>
      </c>
      <c r="G28" s="22">
        <v>312433.86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2">
      <c r="B29" s="344" t="s">
        <v>24</v>
      </c>
      <c r="C29" s="345"/>
      <c r="D29" s="346"/>
      <c r="E29" s="49">
        <v>0</v>
      </c>
      <c r="F29" s="148">
        <v>0</v>
      </c>
      <c r="G29" s="67">
        <v>51396.47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2" ht="15" thickBot="1">
      <c r="B30" s="344" t="s">
        <v>25</v>
      </c>
      <c r="C30" s="345"/>
      <c r="D30" s="346"/>
      <c r="E30" s="49">
        <v>0</v>
      </c>
      <c r="F30" s="148">
        <v>0</v>
      </c>
      <c r="G30" s="71">
        <f>1073154.58-254025.53</f>
        <v>819129.05</v>
      </c>
      <c r="H30" s="72" t="s">
        <v>12</v>
      </c>
      <c r="I30" s="73"/>
      <c r="J30" s="74" t="s">
        <v>32</v>
      </c>
      <c r="K30" s="75" t="s">
        <v>33</v>
      </c>
      <c r="L30" s="61"/>
    </row>
    <row r="31" spans="2:12" ht="15" thickBot="1">
      <c r="B31" s="363" t="s">
        <v>29</v>
      </c>
      <c r="C31" s="364"/>
      <c r="D31" s="365"/>
      <c r="E31" s="66">
        <v>0</v>
      </c>
      <c r="F31" s="80">
        <f>SUM(F27:F30)</f>
        <v>0</v>
      </c>
      <c r="G31" s="76"/>
      <c r="H31" s="76"/>
      <c r="I31" s="76"/>
      <c r="J31" s="76"/>
      <c r="K31" s="1"/>
      <c r="L31" s="77"/>
    </row>
    <row r="35" spans="5:7">
      <c r="E35" s="161" t="s">
        <v>155</v>
      </c>
      <c r="F35" s="162"/>
      <c r="G35" s="8"/>
    </row>
    <row r="36" spans="5:7">
      <c r="E36" s="161"/>
      <c r="F36" s="162"/>
      <c r="G36" s="8"/>
    </row>
    <row r="37" spans="5:7">
      <c r="E37" s="61" t="s">
        <v>34</v>
      </c>
      <c r="F37" s="162">
        <f>F17</f>
        <v>453863.22</v>
      </c>
      <c r="G37" s="8"/>
    </row>
    <row r="38" spans="5:7" s="61" customFormat="1" ht="15" customHeight="1">
      <c r="E38" s="61" t="s">
        <v>35</v>
      </c>
      <c r="F38" s="197">
        <f>+E18</f>
        <v>1203143.33</v>
      </c>
      <c r="G38" s="86">
        <v>1659693.86</v>
      </c>
    </row>
    <row r="39" spans="5:7" s="61" customFormat="1" ht="15" customHeight="1">
      <c r="E39" s="61" t="s">
        <v>36</v>
      </c>
      <c r="F39" s="162">
        <v>0</v>
      </c>
      <c r="G39" s="86">
        <v>480000</v>
      </c>
    </row>
    <row r="40" spans="5:7" s="61" customFormat="1" ht="15" customHeight="1">
      <c r="E40" s="61" t="s">
        <v>37</v>
      </c>
      <c r="F40" s="162">
        <v>0</v>
      </c>
      <c r="G40" s="86"/>
    </row>
    <row r="41" spans="5:7" s="61" customFormat="1" ht="15" customHeight="1">
      <c r="E41" s="163" t="s">
        <v>38</v>
      </c>
      <c r="F41" s="164">
        <f>SUM(F37:F40)</f>
        <v>1657006.55</v>
      </c>
      <c r="G41" s="86"/>
    </row>
    <row r="42" spans="5:7" s="61" customFormat="1" ht="15" customHeight="1">
      <c r="E42" s="165"/>
      <c r="F42" s="166"/>
      <c r="G42" s="9"/>
    </row>
    <row r="43" spans="5:7" s="61" customFormat="1" ht="15" customHeight="1">
      <c r="E43" s="89" t="s">
        <v>146</v>
      </c>
      <c r="F43" s="93">
        <v>90000</v>
      </c>
      <c r="G43" s="9"/>
    </row>
    <row r="44" spans="5:7" s="61" customFormat="1" ht="15" customHeight="1">
      <c r="E44" s="87" t="s">
        <v>52</v>
      </c>
      <c r="F44" s="39">
        <v>0</v>
      </c>
      <c r="G44" s="8"/>
    </row>
    <row r="45" spans="5:7" s="61" customFormat="1" ht="15" customHeight="1">
      <c r="E45" s="89" t="s">
        <v>116</v>
      </c>
      <c r="F45" s="93">
        <v>0</v>
      </c>
      <c r="G45" s="8"/>
    </row>
    <row r="46" spans="5:7" s="61" customFormat="1" ht="15" customHeight="1">
      <c r="E46" s="89" t="s">
        <v>64</v>
      </c>
      <c r="F46" s="93">
        <v>140000</v>
      </c>
      <c r="G46" s="8"/>
    </row>
    <row r="47" spans="5:7" s="61" customFormat="1" ht="15" customHeight="1">
      <c r="E47" s="91" t="s">
        <v>24</v>
      </c>
      <c r="F47" s="95">
        <v>0</v>
      </c>
      <c r="G47" s="8"/>
    </row>
    <row r="48" spans="5:7" s="61" customFormat="1" ht="15" customHeight="1">
      <c r="E48" s="91" t="s">
        <v>39</v>
      </c>
      <c r="F48" s="95">
        <v>2000</v>
      </c>
      <c r="G48" s="8"/>
    </row>
    <row r="49" spans="5:7" s="61" customFormat="1" ht="15" customHeight="1">
      <c r="E49" s="91" t="s">
        <v>22</v>
      </c>
      <c r="F49" s="95">
        <v>25000</v>
      </c>
      <c r="G49" s="174">
        <v>134250.92000000001</v>
      </c>
    </row>
    <row r="50" spans="5:7" s="61" customFormat="1" ht="15" customHeight="1">
      <c r="E50" s="91" t="s">
        <v>53</v>
      </c>
      <c r="F50" s="95">
        <v>0</v>
      </c>
      <c r="G50" s="8"/>
    </row>
    <row r="51" spans="5:7" s="61" customFormat="1" ht="15" customHeight="1">
      <c r="E51" s="91" t="s">
        <v>40</v>
      </c>
      <c r="F51" s="93">
        <v>135000</v>
      </c>
      <c r="G51" s="8"/>
    </row>
    <row r="52" spans="5:7" s="61" customFormat="1">
      <c r="E52" s="91" t="s">
        <v>136</v>
      </c>
      <c r="F52" s="93">
        <v>0</v>
      </c>
      <c r="G52" s="8"/>
    </row>
    <row r="53" spans="5:7" s="61" customFormat="1">
      <c r="E53" s="91" t="s">
        <v>145</v>
      </c>
      <c r="F53" s="93">
        <v>0</v>
      </c>
      <c r="G53" s="8"/>
    </row>
    <row r="54" spans="5:7" s="61" customFormat="1">
      <c r="E54" s="96" t="s">
        <v>41</v>
      </c>
      <c r="F54" s="97">
        <f>SUM(F43:F53)</f>
        <v>392000</v>
      </c>
      <c r="G54" s="8"/>
    </row>
    <row r="55" spans="5:7" s="61" customFormat="1">
      <c r="E55" s="96" t="s">
        <v>42</v>
      </c>
      <c r="F55" s="97">
        <f>F41-F54</f>
        <v>1265006.55</v>
      </c>
      <c r="G55" s="8"/>
    </row>
    <row r="56" spans="5:7" s="61" customFormat="1">
      <c r="E56" s="83"/>
      <c r="F56" s="151"/>
      <c r="G56" s="8"/>
    </row>
    <row r="57" spans="5:7" s="61" customFormat="1">
      <c r="E57" s="83" t="s">
        <v>43</v>
      </c>
      <c r="F57" s="151">
        <f>43800+180000</f>
        <v>223800</v>
      </c>
      <c r="G57" s="8"/>
    </row>
    <row r="58" spans="5:7" s="61" customFormat="1">
      <c r="E58" s="83" t="s">
        <v>44</v>
      </c>
      <c r="F58" s="151">
        <f>100000+350000-20000-40000</f>
        <v>390000</v>
      </c>
      <c r="G58" s="8"/>
    </row>
    <row r="59" spans="5:7" s="61" customFormat="1">
      <c r="E59" s="83" t="s">
        <v>91</v>
      </c>
      <c r="F59" s="95">
        <v>0</v>
      </c>
      <c r="G59" s="82"/>
    </row>
    <row r="60" spans="5:7" s="61" customFormat="1">
      <c r="E60" s="96" t="s">
        <v>46</v>
      </c>
      <c r="F60" s="99">
        <f>SUM(F57:F59)</f>
        <v>613800</v>
      </c>
      <c r="G60" s="82"/>
    </row>
    <row r="61" spans="5:7" s="61" customFormat="1">
      <c r="E61" s="83"/>
      <c r="F61" s="151"/>
      <c r="G61" s="82"/>
    </row>
    <row r="62" spans="5:7" s="61" customFormat="1">
      <c r="E62" s="96" t="s">
        <v>47</v>
      </c>
      <c r="F62" s="99">
        <f>F55-F60</f>
        <v>651206.55000000005</v>
      </c>
      <c r="G62" s="82"/>
    </row>
  </sheetData>
  <mergeCells count="21">
    <mergeCell ref="B30:D30"/>
    <mergeCell ref="B31:D31"/>
    <mergeCell ref="G26:H26"/>
    <mergeCell ref="B25:D25"/>
    <mergeCell ref="B26:D26"/>
    <mergeCell ref="B27:D27"/>
    <mergeCell ref="B28:D28"/>
    <mergeCell ref="B29:D29"/>
    <mergeCell ref="G24:K24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G20:H20"/>
  </mergeCells>
  <pageMargins left="0.7" right="0.7" top="0.75" bottom="0.75" header="0.3" footer="0.3"/>
  <drawing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36464-23D0-437D-B84E-595AE6B8E2FE}">
  <dimension ref="B6:P66"/>
  <sheetViews>
    <sheetView showGridLines="0" topLeftCell="A34" workbookViewId="0">
      <selection activeCell="A34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209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76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76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76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76"/>
      <c r="K11" s="1"/>
    </row>
    <row r="12" spans="2:11" ht="18" thickBot="1">
      <c r="B12" s="331" t="s">
        <v>2</v>
      </c>
      <c r="C12" s="332"/>
      <c r="D12" s="332"/>
      <c r="E12" s="333"/>
      <c r="F12" s="186"/>
      <c r="G12" s="1"/>
      <c r="H12" s="1"/>
      <c r="I12" s="1"/>
      <c r="J12" s="76"/>
      <c r="K12" s="1"/>
    </row>
    <row r="13" spans="2:11" ht="18" thickBot="1">
      <c r="B13" s="1"/>
      <c r="C13" s="1"/>
      <c r="D13" s="1"/>
      <c r="E13" s="1"/>
      <c r="F13" s="148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1446435.9400000002</v>
      </c>
      <c r="F14" s="148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1288201.9100000001</v>
      </c>
      <c r="F15" s="150">
        <f>E15+E16+E17</f>
        <v>1446435.9400000002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35604.79</v>
      </c>
      <c r="F16" s="150">
        <v>90000</v>
      </c>
      <c r="G16" s="22">
        <v>28821.59</v>
      </c>
      <c r="H16" s="23" t="s">
        <v>8</v>
      </c>
      <c r="I16" s="24"/>
      <c r="J16" s="25">
        <v>161038.1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122629.23999999999</v>
      </c>
      <c r="F17" s="150">
        <f>F15-F16</f>
        <v>1356435.9400000002</v>
      </c>
      <c r="G17" s="22">
        <f>69149.95-10000</f>
        <v>59149.95</v>
      </c>
      <c r="H17" s="29" t="s">
        <v>10</v>
      </c>
      <c r="I17" s="30"/>
      <c r="J17" s="25">
        <v>899437.05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1203487.05</v>
      </c>
      <c r="F18" s="150">
        <v>72955.47</v>
      </c>
      <c r="G18" s="22">
        <v>34657.699999999997</v>
      </c>
      <c r="H18" s="29" t="s">
        <v>12</v>
      </c>
      <c r="I18" s="30"/>
      <c r="J18" s="25">
        <v>50447.1</v>
      </c>
      <c r="K18" s="31" t="s">
        <v>12</v>
      </c>
    </row>
    <row r="19" spans="2:11">
      <c r="B19" s="344" t="s">
        <v>13</v>
      </c>
      <c r="C19" s="345"/>
      <c r="D19" s="346"/>
      <c r="E19" s="20">
        <v>16811662.120000001</v>
      </c>
      <c r="F19" s="150"/>
      <c r="G19" s="33"/>
      <c r="H19" s="34"/>
      <c r="I19" s="30"/>
      <c r="J19" s="25">
        <v>177279.66</v>
      </c>
      <c r="K19" s="31" t="s">
        <v>14</v>
      </c>
    </row>
    <row r="20" spans="2:11">
      <c r="B20" s="187" t="s">
        <v>15</v>
      </c>
      <c r="C20" s="188"/>
      <c r="D20" s="189"/>
      <c r="E20" s="190">
        <f>SUM(E21:E27)</f>
        <v>900306.7</v>
      </c>
      <c r="F20" s="150"/>
      <c r="G20" s="361" t="s">
        <v>16</v>
      </c>
      <c r="H20" s="362"/>
      <c r="I20" s="36"/>
      <c r="J20" s="37"/>
      <c r="K20" s="38"/>
    </row>
    <row r="21" spans="2:11">
      <c r="B21" s="187"/>
      <c r="C21" s="188"/>
      <c r="D21" s="198" t="s">
        <v>158</v>
      </c>
      <c r="E21" s="190">
        <v>1276</v>
      </c>
      <c r="F21" s="150"/>
      <c r="G21" s="44">
        <v>13748.28</v>
      </c>
      <c r="H21" s="29" t="s">
        <v>10</v>
      </c>
      <c r="I21" s="30"/>
      <c r="J21" s="37"/>
      <c r="K21" s="45"/>
    </row>
    <row r="22" spans="2:11">
      <c r="B22" s="187"/>
      <c r="C22" s="188"/>
      <c r="D22" s="198" t="s">
        <v>159</v>
      </c>
      <c r="E22" s="190">
        <v>35440.39</v>
      </c>
      <c r="F22" s="150"/>
      <c r="G22" s="44">
        <v>21856.51</v>
      </c>
      <c r="H22" s="29" t="s">
        <v>18</v>
      </c>
      <c r="I22" s="30"/>
      <c r="J22" s="50"/>
      <c r="K22" s="38"/>
    </row>
    <row r="23" spans="2:11" ht="15" thickBot="1">
      <c r="B23" s="187"/>
      <c r="C23" s="188"/>
      <c r="D23" s="198" t="s">
        <v>160</v>
      </c>
      <c r="E23" s="190">
        <v>6960</v>
      </c>
      <c r="F23" s="159">
        <f>SUM(E28:E35)</f>
        <v>105000</v>
      </c>
      <c r="G23" s="51"/>
      <c r="H23" s="34"/>
      <c r="I23" s="30"/>
      <c r="J23" s="210"/>
      <c r="K23" s="53"/>
    </row>
    <row r="24" spans="2:11" ht="15" thickBot="1">
      <c r="B24" s="187"/>
      <c r="C24" s="188"/>
      <c r="D24" s="198" t="s">
        <v>161</v>
      </c>
      <c r="E24" s="190">
        <v>23008.48</v>
      </c>
      <c r="F24" s="149">
        <f>+F17-F23</f>
        <v>1251435.9400000002</v>
      </c>
      <c r="G24" s="331" t="s">
        <v>21</v>
      </c>
      <c r="H24" s="332"/>
      <c r="I24" s="332"/>
      <c r="J24" s="332"/>
      <c r="K24" s="333"/>
    </row>
    <row r="25" spans="2:11">
      <c r="B25" s="187"/>
      <c r="C25" s="188"/>
      <c r="D25" s="198" t="s">
        <v>162</v>
      </c>
      <c r="E25" s="190">
        <v>68909.42</v>
      </c>
      <c r="F25" s="149">
        <v>0</v>
      </c>
      <c r="G25" s="54"/>
      <c r="H25" s="55"/>
      <c r="I25" s="56"/>
      <c r="J25" s="211"/>
      <c r="K25" s="58"/>
    </row>
    <row r="26" spans="2:11">
      <c r="B26" s="187"/>
      <c r="C26" s="188"/>
      <c r="D26" s="198" t="s">
        <v>162</v>
      </c>
      <c r="E26" s="190">
        <v>62779.26</v>
      </c>
      <c r="F26" s="149">
        <v>0</v>
      </c>
      <c r="G26" s="347" t="s">
        <v>5</v>
      </c>
      <c r="H26" s="348"/>
      <c r="I26" s="59"/>
      <c r="J26" s="60"/>
      <c r="K26" s="45"/>
    </row>
    <row r="27" spans="2:11">
      <c r="B27" s="206"/>
      <c r="C27" s="205"/>
      <c r="D27" s="208" t="s">
        <v>161</v>
      </c>
      <c r="E27" s="207">
        <v>701933.15</v>
      </c>
      <c r="F27" s="151">
        <f>SUM(F25:F26)</f>
        <v>0</v>
      </c>
      <c r="G27" s="22">
        <f>31687.62-11500</f>
        <v>20187.62</v>
      </c>
      <c r="H27" s="62" t="s">
        <v>9</v>
      </c>
      <c r="I27" s="59"/>
      <c r="J27" s="60"/>
      <c r="K27" s="45"/>
    </row>
    <row r="28" spans="2:11">
      <c r="B28" s="46" t="s">
        <v>17</v>
      </c>
      <c r="C28" s="47"/>
      <c r="D28" s="48"/>
      <c r="E28" s="49">
        <v>0</v>
      </c>
      <c r="F28" s="39"/>
      <c r="G28" s="22">
        <v>312472.55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366" t="s">
        <v>163</v>
      </c>
      <c r="C29" s="367"/>
      <c r="D29" s="368"/>
      <c r="E29" s="49">
        <v>95000</v>
      </c>
      <c r="F29" s="39"/>
      <c r="G29" s="67">
        <v>51401.440000000002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154</v>
      </c>
      <c r="C30" s="345"/>
      <c r="D30" s="346"/>
      <c r="E30" s="49">
        <v>0</v>
      </c>
      <c r="F30" s="39"/>
      <c r="G30" s="71">
        <f>1073450.97-254025.53</f>
        <v>819425.44</v>
      </c>
      <c r="H30" s="72" t="s">
        <v>12</v>
      </c>
      <c r="I30" s="73"/>
      <c r="J30" s="74" t="s">
        <v>32</v>
      </c>
      <c r="K30" s="75" t="s">
        <v>33</v>
      </c>
    </row>
    <row r="31" spans="2:11">
      <c r="B31" s="344" t="s">
        <v>23</v>
      </c>
      <c r="C31" s="345"/>
      <c r="D31" s="346"/>
      <c r="E31" s="49">
        <v>0</v>
      </c>
      <c r="F31" s="39"/>
      <c r="G31" s="76"/>
      <c r="H31" s="76"/>
      <c r="I31" s="76"/>
      <c r="J31" s="76"/>
      <c r="K31" s="1"/>
    </row>
    <row r="32" spans="2:11">
      <c r="B32" s="344" t="s">
        <v>22</v>
      </c>
      <c r="C32" s="345"/>
      <c r="D32" s="346"/>
      <c r="E32" s="49">
        <v>10000</v>
      </c>
      <c r="F32" s="39"/>
    </row>
    <row r="33" spans="2:11">
      <c r="B33" s="344" t="s">
        <v>24</v>
      </c>
      <c r="C33" s="345"/>
      <c r="D33" s="346"/>
      <c r="E33" s="49">
        <v>0</v>
      </c>
      <c r="F33" s="39"/>
      <c r="G33" s="8"/>
      <c r="H33" s="61"/>
      <c r="I33" s="61"/>
      <c r="J33" s="13"/>
      <c r="K33" s="61"/>
    </row>
    <row r="34" spans="2:11">
      <c r="B34" s="344" t="s">
        <v>25</v>
      </c>
      <c r="C34" s="345"/>
      <c r="D34" s="346"/>
      <c r="E34" s="49">
        <v>0</v>
      </c>
      <c r="F34" s="39"/>
      <c r="G34" s="8"/>
      <c r="H34" s="61"/>
      <c r="I34" s="61"/>
      <c r="J34" s="13"/>
      <c r="K34" s="78"/>
    </row>
    <row r="35" spans="2:11" ht="15" thickBot="1">
      <c r="B35" s="363" t="s">
        <v>29</v>
      </c>
      <c r="C35" s="364"/>
      <c r="D35" s="365"/>
      <c r="E35" s="66">
        <v>0</v>
      </c>
      <c r="F35" s="61"/>
      <c r="G35" s="8"/>
      <c r="H35" s="61"/>
      <c r="I35" s="61"/>
      <c r="J35" s="13"/>
      <c r="K35" s="78"/>
    </row>
    <row r="36" spans="2:11">
      <c r="B36" s="69"/>
      <c r="C36" s="69"/>
      <c r="D36" s="70"/>
      <c r="E36" s="70"/>
      <c r="F36" s="151"/>
      <c r="G36" s="8"/>
      <c r="H36" s="61"/>
      <c r="I36" s="61"/>
      <c r="J36" s="13"/>
      <c r="K36" s="83"/>
    </row>
    <row r="37" spans="2:11">
      <c r="E37" s="61"/>
      <c r="F37" s="151"/>
      <c r="G37" s="8"/>
      <c r="H37" s="61"/>
      <c r="I37" s="61"/>
      <c r="J37" s="13"/>
      <c r="K37" s="83"/>
    </row>
    <row r="38" spans="2:11" s="61" customFormat="1" ht="15" customHeight="1">
      <c r="B38"/>
      <c r="C38"/>
      <c r="D38"/>
      <c r="F38" s="160"/>
      <c r="G38" s="86">
        <v>1659693.86</v>
      </c>
      <c r="H38" s="98"/>
      <c r="J38" s="13"/>
      <c r="K38" s="83"/>
    </row>
    <row r="39" spans="2:11" s="61" customFormat="1" ht="15" customHeight="1">
      <c r="D39" s="83"/>
      <c r="E39" s="161" t="s">
        <v>155</v>
      </c>
      <c r="F39" s="162"/>
      <c r="G39" s="86">
        <v>480000</v>
      </c>
      <c r="H39" s="161" t="s">
        <v>155</v>
      </c>
      <c r="I39" s="98"/>
      <c r="J39" s="13"/>
      <c r="K39" s="83"/>
    </row>
    <row r="40" spans="2:11" s="61" customFormat="1" ht="15" customHeight="1">
      <c r="D40" s="83"/>
      <c r="E40" s="161"/>
      <c r="F40" s="162"/>
      <c r="G40" s="86"/>
      <c r="H40" s="98"/>
      <c r="I40" s="98"/>
      <c r="J40" s="13"/>
      <c r="K40" s="85"/>
    </row>
    <row r="41" spans="2:11" s="61" customFormat="1" ht="15" customHeight="1">
      <c r="D41" s="83"/>
      <c r="E41" s="61" t="s">
        <v>34</v>
      </c>
      <c r="F41" s="162">
        <f>F17</f>
        <v>1356435.9400000002</v>
      </c>
      <c r="G41" s="88"/>
      <c r="H41" s="61" t="s">
        <v>34</v>
      </c>
      <c r="J41" s="13">
        <v>0</v>
      </c>
      <c r="K41" s="87"/>
    </row>
    <row r="42" spans="2:11" s="61" customFormat="1" ht="15" customHeight="1">
      <c r="D42" s="83"/>
      <c r="E42" s="61" t="s">
        <v>35</v>
      </c>
      <c r="F42" s="197">
        <f>+E18</f>
        <v>1203487.05</v>
      </c>
      <c r="G42" s="13"/>
      <c r="H42" s="61" t="s">
        <v>35</v>
      </c>
      <c r="J42" s="13">
        <v>0</v>
      </c>
    </row>
    <row r="43" spans="2:11" s="61" customFormat="1" ht="15" customHeight="1">
      <c r="D43" s="83"/>
      <c r="E43" s="61" t="s">
        <v>36</v>
      </c>
      <c r="F43" s="162">
        <v>0</v>
      </c>
      <c r="G43" s="13"/>
      <c r="H43" s="61" t="s">
        <v>36</v>
      </c>
      <c r="J43" s="13">
        <v>0</v>
      </c>
    </row>
    <row r="44" spans="2:11" s="61" customFormat="1" ht="15" customHeight="1">
      <c r="D44" s="83"/>
      <c r="E44" s="61" t="s">
        <v>37</v>
      </c>
      <c r="F44" s="162">
        <v>0</v>
      </c>
      <c r="H44" s="61" t="s">
        <v>37</v>
      </c>
      <c r="J44" s="13">
        <v>0</v>
      </c>
    </row>
    <row r="45" spans="2:11" s="61" customFormat="1" ht="15" customHeight="1">
      <c r="D45" s="83"/>
      <c r="E45" s="163" t="s">
        <v>38</v>
      </c>
      <c r="F45" s="164">
        <f>SUM(F41:F44)</f>
        <v>2559922.9900000002</v>
      </c>
      <c r="H45" s="163" t="s">
        <v>38</v>
      </c>
      <c r="I45" s="164">
        <f>SUM(I41:I44)</f>
        <v>0</v>
      </c>
      <c r="J45" s="212">
        <f>SUM(J41:J44)</f>
        <v>0</v>
      </c>
      <c r="K45" s="32"/>
    </row>
    <row r="46" spans="2:11" s="61" customFormat="1" ht="15" customHeight="1">
      <c r="D46" s="83"/>
      <c r="E46" s="165"/>
      <c r="F46" s="166"/>
      <c r="H46" s="151"/>
      <c r="J46" s="13"/>
    </row>
    <row r="47" spans="2:11" s="61" customFormat="1" ht="15" customHeight="1">
      <c r="D47" s="83"/>
      <c r="E47" s="89" t="s">
        <v>146</v>
      </c>
      <c r="F47" s="93">
        <v>90000</v>
      </c>
      <c r="H47" s="89" t="s">
        <v>164</v>
      </c>
      <c r="I47" s="93">
        <v>85000</v>
      </c>
      <c r="J47" s="13">
        <v>95000</v>
      </c>
    </row>
    <row r="48" spans="2:11" s="61" customFormat="1" ht="15" customHeight="1">
      <c r="D48" s="83"/>
      <c r="E48" s="87" t="s">
        <v>52</v>
      </c>
      <c r="F48" s="39">
        <v>0</v>
      </c>
      <c r="H48" s="87" t="s">
        <v>165</v>
      </c>
      <c r="I48" s="39">
        <v>1500000</v>
      </c>
      <c r="J48" s="13">
        <v>1500000</v>
      </c>
    </row>
    <row r="49" spans="5:10" s="61" customFormat="1" ht="15" customHeight="1">
      <c r="E49" s="89" t="s">
        <v>116</v>
      </c>
      <c r="F49" s="93">
        <v>0</v>
      </c>
      <c r="G49" s="166"/>
      <c r="H49" s="89" t="s">
        <v>166</v>
      </c>
      <c r="I49" s="93">
        <v>80000</v>
      </c>
      <c r="J49" s="13">
        <v>80000</v>
      </c>
    </row>
    <row r="50" spans="5:10" s="61" customFormat="1" ht="15" customHeight="1">
      <c r="E50" s="89" t="s">
        <v>64</v>
      </c>
      <c r="F50" s="93">
        <v>140000</v>
      </c>
      <c r="H50" s="89" t="s">
        <v>167</v>
      </c>
      <c r="I50" s="93">
        <v>75000</v>
      </c>
      <c r="J50" s="13">
        <v>75000</v>
      </c>
    </row>
    <row r="51" spans="5:10" s="61" customFormat="1" ht="15" customHeight="1">
      <c r="E51" s="91" t="s">
        <v>24</v>
      </c>
      <c r="F51" s="95">
        <v>0</v>
      </c>
      <c r="H51" s="89" t="s">
        <v>80</v>
      </c>
      <c r="I51" s="93">
        <v>357594</v>
      </c>
      <c r="J51" s="13">
        <v>1800000</v>
      </c>
    </row>
    <row r="52" spans="5:10" s="61" customFormat="1">
      <c r="E52" s="91" t="s">
        <v>39</v>
      </c>
      <c r="F52" s="95">
        <v>2000</v>
      </c>
      <c r="H52" s="89" t="s">
        <v>64</v>
      </c>
      <c r="I52" s="93">
        <v>50000</v>
      </c>
      <c r="J52" s="13">
        <v>150000</v>
      </c>
    </row>
    <row r="53" spans="5:10" s="61" customFormat="1">
      <c r="E53" s="91" t="s">
        <v>22</v>
      </c>
      <c r="F53" s="95">
        <v>25000</v>
      </c>
      <c r="H53" s="91" t="s">
        <v>24</v>
      </c>
      <c r="I53" s="95">
        <f>65000+15000+100000</f>
        <v>180000</v>
      </c>
      <c r="J53" s="13">
        <f>15000+65000+210000</f>
        <v>290000</v>
      </c>
    </row>
    <row r="54" spans="5:10" s="61" customFormat="1">
      <c r="E54" s="91" t="s">
        <v>53</v>
      </c>
      <c r="F54" s="95">
        <v>0</v>
      </c>
      <c r="H54" s="91" t="s">
        <v>39</v>
      </c>
      <c r="I54" s="95">
        <v>2000</v>
      </c>
      <c r="J54" s="13">
        <v>2000</v>
      </c>
    </row>
    <row r="55" spans="5:10" s="61" customFormat="1">
      <c r="E55" s="91" t="s">
        <v>40</v>
      </c>
      <c r="F55" s="93">
        <v>135000</v>
      </c>
      <c r="H55" s="91" t="s">
        <v>22</v>
      </c>
      <c r="I55" s="95">
        <v>45000</v>
      </c>
      <c r="J55" s="13">
        <v>50000</v>
      </c>
    </row>
    <row r="56" spans="5:10" s="61" customFormat="1">
      <c r="E56" s="91" t="s">
        <v>136</v>
      </c>
      <c r="F56" s="93">
        <v>0</v>
      </c>
      <c r="H56" s="91" t="s">
        <v>69</v>
      </c>
      <c r="I56" s="95">
        <v>60000</v>
      </c>
      <c r="J56" s="13">
        <v>60000</v>
      </c>
    </row>
    <row r="57" spans="5:10" s="61" customFormat="1">
      <c r="E57" s="91" t="s">
        <v>145</v>
      </c>
      <c r="F57" s="93">
        <v>0</v>
      </c>
      <c r="H57" s="91" t="s">
        <v>40</v>
      </c>
      <c r="I57" s="93">
        <v>100000</v>
      </c>
      <c r="J57" s="13">
        <v>150000</v>
      </c>
    </row>
    <row r="58" spans="5:10" s="61" customFormat="1">
      <c r="E58" s="96" t="s">
        <v>41</v>
      </c>
      <c r="F58" s="97">
        <f>SUM(F47:F57)</f>
        <v>392000</v>
      </c>
      <c r="H58" s="96" t="s">
        <v>41</v>
      </c>
      <c r="I58" s="93"/>
      <c r="J58" s="13">
        <f>SUM(J47:J57)</f>
        <v>4252000</v>
      </c>
    </row>
    <row r="59" spans="5:10" s="61" customFormat="1">
      <c r="E59" s="96" t="s">
        <v>42</v>
      </c>
      <c r="F59" s="97">
        <f>F45-F58</f>
        <v>2167922.9900000002</v>
      </c>
      <c r="G59" s="83"/>
      <c r="H59" s="96" t="s">
        <v>42</v>
      </c>
      <c r="I59" s="93"/>
      <c r="J59" s="13">
        <f>+J45-J58</f>
        <v>-4252000</v>
      </c>
    </row>
    <row r="60" spans="5:10" s="61" customFormat="1">
      <c r="E60" s="83"/>
      <c r="F60" s="151"/>
      <c r="G60" s="83"/>
      <c r="H60" s="83"/>
      <c r="J60" s="13"/>
    </row>
    <row r="61" spans="5:10" s="61" customFormat="1">
      <c r="E61" s="83" t="s">
        <v>43</v>
      </c>
      <c r="F61" s="151">
        <f>43800+180000</f>
        <v>223800</v>
      </c>
      <c r="G61" s="83"/>
      <c r="H61" s="83"/>
      <c r="J61" s="13"/>
    </row>
    <row r="62" spans="5:10" s="61" customFormat="1">
      <c r="E62" s="83" t="s">
        <v>44</v>
      </c>
      <c r="F62" s="151">
        <f>100000+350000-20000-40000</f>
        <v>390000</v>
      </c>
      <c r="G62" s="83"/>
      <c r="H62" s="83"/>
      <c r="J62" s="13"/>
    </row>
    <row r="63" spans="5:10" s="61" customFormat="1">
      <c r="E63" s="83" t="s">
        <v>91</v>
      </c>
      <c r="F63" s="95">
        <v>0</v>
      </c>
      <c r="G63" s="83"/>
      <c r="H63" s="83"/>
      <c r="J63" s="13"/>
    </row>
    <row r="64" spans="5:10">
      <c r="E64" s="96" t="s">
        <v>46</v>
      </c>
      <c r="F64" s="99">
        <f>SUM(F61:F63)</f>
        <v>613800</v>
      </c>
      <c r="G64" s="61"/>
      <c r="H64" s="83"/>
      <c r="I64" s="61"/>
      <c r="J64" s="13"/>
    </row>
    <row r="66" spans="5:6">
      <c r="E66" s="96" t="s">
        <v>47</v>
      </c>
      <c r="F66" s="99">
        <f>F59-F64</f>
        <v>1554122.9900000002</v>
      </c>
    </row>
  </sheetData>
  <mergeCells count="21">
    <mergeCell ref="G24:K24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G20:H20"/>
    <mergeCell ref="B34:D34"/>
    <mergeCell ref="B35:D35"/>
    <mergeCell ref="B29:D29"/>
    <mergeCell ref="B30:D30"/>
    <mergeCell ref="G26:H26"/>
    <mergeCell ref="B31:D31"/>
    <mergeCell ref="B32:D32"/>
    <mergeCell ref="B33:D33"/>
  </mergeCells>
  <pageMargins left="0.7" right="0.7" top="0.75" bottom="0.75" header="0.3" footer="0.3"/>
  <drawing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C7995-7134-4EF7-AAAE-F2AAA3BDCB10}">
  <dimension ref="B6:P64"/>
  <sheetViews>
    <sheetView showGridLines="0" workbookViewId="0">
      <selection activeCell="E35" sqref="E35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209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76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76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76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76"/>
      <c r="K11" s="1"/>
    </row>
    <row r="12" spans="2:11" ht="18" thickBot="1">
      <c r="B12" s="331" t="s">
        <v>2</v>
      </c>
      <c r="C12" s="332"/>
      <c r="D12" s="332"/>
      <c r="E12" s="333"/>
      <c r="F12" s="186"/>
      <c r="G12" s="1"/>
      <c r="H12" s="1"/>
      <c r="I12" s="1"/>
      <c r="J12" s="76"/>
      <c r="K12" s="1"/>
    </row>
    <row r="13" spans="2:11" ht="18" thickBot="1">
      <c r="B13" s="1"/>
      <c r="C13" s="1"/>
      <c r="D13" s="1"/>
      <c r="E13" s="1"/>
      <c r="F13" s="148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766781.84000000008</v>
      </c>
      <c r="F14" s="148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671703.35000000009</v>
      </c>
      <c r="F15" s="153">
        <f>E15+E16+E17</f>
        <v>766781.84000000008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36101.39</v>
      </c>
      <c r="F16" s="153">
        <v>90000</v>
      </c>
      <c r="G16" s="22">
        <v>28821.59</v>
      </c>
      <c r="H16" s="23" t="s">
        <v>8</v>
      </c>
      <c r="I16" s="24"/>
      <c r="J16" s="25">
        <v>161038.1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58977.100000000006</v>
      </c>
      <c r="F17" s="153">
        <f>F15-F16</f>
        <v>676781.84000000008</v>
      </c>
      <c r="G17" s="22">
        <v>11971.35</v>
      </c>
      <c r="H17" s="29" t="s">
        <v>10</v>
      </c>
      <c r="I17" s="30"/>
      <c r="J17" s="25">
        <v>94253.65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2264992.56</v>
      </c>
      <c r="F18" s="153"/>
      <c r="G18" s="22">
        <v>18184.16</v>
      </c>
      <c r="H18" s="29" t="s">
        <v>12</v>
      </c>
      <c r="I18" s="30"/>
      <c r="J18" s="25">
        <v>399663.54</v>
      </c>
      <c r="K18" s="31" t="s">
        <v>12</v>
      </c>
    </row>
    <row r="19" spans="2:11">
      <c r="B19" s="344" t="s">
        <v>13</v>
      </c>
      <c r="C19" s="345"/>
      <c r="D19" s="346"/>
      <c r="E19" s="20">
        <v>18260602.02</v>
      </c>
      <c r="F19" s="153"/>
      <c r="G19" s="33"/>
      <c r="H19" s="34"/>
      <c r="I19" s="30"/>
      <c r="J19" s="25">
        <v>16748.060000000001</v>
      </c>
      <c r="K19" s="31" t="s">
        <v>14</v>
      </c>
    </row>
    <row r="20" spans="2:11">
      <c r="B20" s="187" t="s">
        <v>15</v>
      </c>
      <c r="C20" s="188"/>
      <c r="D20" s="189"/>
      <c r="E20" s="190">
        <f>SUM(E21:E23)</f>
        <v>0</v>
      </c>
      <c r="F20" s="153"/>
      <c r="G20" s="361" t="s">
        <v>16</v>
      </c>
      <c r="H20" s="362"/>
      <c r="I20" s="36"/>
      <c r="J20" s="37"/>
      <c r="K20" s="38"/>
    </row>
    <row r="21" spans="2:11">
      <c r="B21" s="187"/>
      <c r="C21" s="188"/>
      <c r="D21" s="198"/>
      <c r="E21" s="190">
        <v>0</v>
      </c>
      <c r="F21" s="158">
        <f>SUM(E24:E31)</f>
        <v>238275.16999999998</v>
      </c>
      <c r="G21" s="44">
        <v>14244.88</v>
      </c>
      <c r="H21" s="29" t="s">
        <v>10</v>
      </c>
      <c r="I21" s="30"/>
      <c r="J21" s="37"/>
      <c r="K21" s="45"/>
    </row>
    <row r="22" spans="2:11">
      <c r="B22" s="187"/>
      <c r="C22" s="188"/>
      <c r="D22" s="198"/>
      <c r="E22" s="190">
        <v>0</v>
      </c>
      <c r="F22" s="148">
        <f>+F17-F21</f>
        <v>438506.6700000001</v>
      </c>
      <c r="G22" s="44">
        <v>21856.51</v>
      </c>
      <c r="H22" s="29" t="s">
        <v>18</v>
      </c>
      <c r="I22" s="30"/>
      <c r="J22" s="50"/>
      <c r="K22" s="38"/>
    </row>
    <row r="23" spans="2:11" ht="15" thickBot="1">
      <c r="B23" s="187"/>
      <c r="C23" s="188"/>
      <c r="D23" s="198"/>
      <c r="E23" s="190">
        <v>0</v>
      </c>
      <c r="F23" s="148"/>
      <c r="G23" s="51"/>
      <c r="H23" s="34"/>
      <c r="I23" s="30"/>
      <c r="J23" s="210"/>
      <c r="K23" s="53"/>
    </row>
    <row r="24" spans="2:11" ht="15" thickBot="1">
      <c r="B24" s="46" t="s">
        <v>17</v>
      </c>
      <c r="C24" s="47"/>
      <c r="D24" s="48"/>
      <c r="E24" s="49">
        <v>90911.17</v>
      </c>
      <c r="F24" s="148"/>
      <c r="G24" s="331" t="s">
        <v>21</v>
      </c>
      <c r="H24" s="332"/>
      <c r="I24" s="332"/>
      <c r="J24" s="332"/>
      <c r="K24" s="333"/>
    </row>
    <row r="25" spans="2:11">
      <c r="B25" s="202" t="s">
        <v>163</v>
      </c>
      <c r="C25" s="203"/>
      <c r="D25" s="204"/>
      <c r="E25" s="49">
        <v>0</v>
      </c>
      <c r="F25" s="80"/>
      <c r="G25" s="54"/>
      <c r="H25" s="55"/>
      <c r="I25" s="56"/>
      <c r="J25" s="211"/>
      <c r="K25" s="58"/>
    </row>
    <row r="26" spans="2:11">
      <c r="B26" s="199" t="s">
        <v>64</v>
      </c>
      <c r="C26" s="200"/>
      <c r="D26" s="201"/>
      <c r="E26" s="49">
        <v>147364</v>
      </c>
      <c r="F26" s="154"/>
      <c r="G26" s="347" t="s">
        <v>5</v>
      </c>
      <c r="H26" s="348"/>
      <c r="I26" s="59"/>
      <c r="J26" s="60"/>
      <c r="K26" s="45"/>
    </row>
    <row r="27" spans="2:11">
      <c r="B27" s="199" t="s">
        <v>23</v>
      </c>
      <c r="C27" s="200"/>
      <c r="D27" s="201"/>
      <c r="E27" s="49">
        <v>0</v>
      </c>
      <c r="F27" s="154"/>
      <c r="G27" s="22">
        <f>31698.57-11500</f>
        <v>20198.57</v>
      </c>
      <c r="H27" s="62" t="s">
        <v>9</v>
      </c>
      <c r="I27" s="59"/>
      <c r="J27" s="60"/>
      <c r="K27" s="45"/>
    </row>
    <row r="28" spans="2:11">
      <c r="B28" s="199" t="s">
        <v>22</v>
      </c>
      <c r="C28" s="200"/>
      <c r="D28" s="201"/>
      <c r="E28" s="49">
        <v>0</v>
      </c>
      <c r="F28" s="154"/>
      <c r="G28" s="22">
        <v>1193024.96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199" t="s">
        <v>24</v>
      </c>
      <c r="C29" s="200"/>
      <c r="D29" s="201"/>
      <c r="E29" s="49">
        <v>0</v>
      </c>
      <c r="F29" s="154"/>
      <c r="G29" s="67">
        <v>231466.73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25</v>
      </c>
      <c r="C30" s="345"/>
      <c r="D30" s="346"/>
      <c r="E30" s="49">
        <v>0</v>
      </c>
      <c r="F30" s="154"/>
      <c r="G30" s="71">
        <f>1074327.83-254025.53</f>
        <v>820302.3</v>
      </c>
      <c r="H30" s="72" t="s">
        <v>12</v>
      </c>
      <c r="I30" s="73"/>
      <c r="J30" s="74" t="s">
        <v>32</v>
      </c>
      <c r="K30" s="75" t="s">
        <v>33</v>
      </c>
    </row>
    <row r="31" spans="2:11" ht="15" thickBot="1">
      <c r="B31" s="363" t="s">
        <v>29</v>
      </c>
      <c r="C31" s="364"/>
      <c r="D31" s="365"/>
      <c r="E31" s="66">
        <v>0</v>
      </c>
      <c r="F31" s="154"/>
      <c r="G31" s="76"/>
      <c r="H31" s="76"/>
      <c r="I31" s="76"/>
      <c r="J31" s="76"/>
      <c r="K31" s="1"/>
    </row>
    <row r="37" spans="5:7">
      <c r="E37" s="181" t="s">
        <v>168</v>
      </c>
      <c r="F37" s="178"/>
      <c r="G37" s="8"/>
    </row>
    <row r="38" spans="5:7" s="61" customFormat="1" ht="15" customHeight="1">
      <c r="E38" s="181"/>
      <c r="F38" s="178"/>
      <c r="G38" s="86">
        <v>1659693.86</v>
      </c>
    </row>
    <row r="39" spans="5:7" s="61" customFormat="1" ht="15" customHeight="1">
      <c r="E39" s="8" t="s">
        <v>34</v>
      </c>
      <c r="F39" s="178">
        <f>F17</f>
        <v>676781.84000000008</v>
      </c>
      <c r="G39" s="86">
        <v>480000</v>
      </c>
    </row>
    <row r="40" spans="5:7" s="61" customFormat="1" ht="15" customHeight="1">
      <c r="E40" s="8" t="s">
        <v>35</v>
      </c>
      <c r="F40" s="213">
        <f>+E18</f>
        <v>2264992.56</v>
      </c>
      <c r="G40" s="86"/>
    </row>
    <row r="41" spans="5:7" s="61" customFormat="1" ht="15" customHeight="1">
      <c r="E41" s="8" t="s">
        <v>36</v>
      </c>
      <c r="F41" s="178">
        <v>0</v>
      </c>
      <c r="G41" s="88"/>
    </row>
    <row r="42" spans="5:7" s="61" customFormat="1" ht="15" customHeight="1">
      <c r="E42" s="8" t="s">
        <v>37</v>
      </c>
      <c r="F42" s="178">
        <v>0</v>
      </c>
      <c r="G42" s="13"/>
    </row>
    <row r="43" spans="5:7" s="61" customFormat="1" ht="15" customHeight="1">
      <c r="E43" s="182" t="s">
        <v>38</v>
      </c>
      <c r="F43" s="179">
        <f>SUM(F39:F42)</f>
        <v>2941774.4000000004</v>
      </c>
      <c r="G43" s="13"/>
    </row>
    <row r="44" spans="5:7" s="61" customFormat="1" ht="15" customHeight="1">
      <c r="E44" s="183"/>
      <c r="F44" s="174"/>
    </row>
    <row r="45" spans="5:7" s="61" customFormat="1" ht="15" customHeight="1">
      <c r="E45" s="114" t="s">
        <v>164</v>
      </c>
      <c r="F45" s="154">
        <v>95000</v>
      </c>
    </row>
    <row r="46" spans="5:7" s="61" customFormat="1" ht="15" customHeight="1">
      <c r="E46" s="113" t="s">
        <v>165</v>
      </c>
      <c r="F46" s="154">
        <v>1500000</v>
      </c>
    </row>
    <row r="47" spans="5:7" s="61" customFormat="1" ht="15" customHeight="1">
      <c r="E47" s="114" t="s">
        <v>166</v>
      </c>
      <c r="F47" s="154">
        <v>80000</v>
      </c>
    </row>
    <row r="48" spans="5:7" s="61" customFormat="1" ht="15" customHeight="1">
      <c r="E48" s="114" t="s">
        <v>167</v>
      </c>
      <c r="F48" s="154">
        <v>75000</v>
      </c>
    </row>
    <row r="49" spans="5:6" s="61" customFormat="1" ht="15" customHeight="1">
      <c r="E49" s="114" t="s">
        <v>80</v>
      </c>
      <c r="F49" s="154">
        <v>1700000</v>
      </c>
    </row>
    <row r="50" spans="5:6" s="61" customFormat="1" ht="15" customHeight="1">
      <c r="E50" s="114" t="s">
        <v>64</v>
      </c>
      <c r="F50" s="154">
        <v>150000</v>
      </c>
    </row>
    <row r="51" spans="5:6" s="61" customFormat="1" ht="15" customHeight="1">
      <c r="E51" s="116" t="s">
        <v>24</v>
      </c>
      <c r="F51" s="154">
        <f>15000+65000+210000</f>
        <v>290000</v>
      </c>
    </row>
    <row r="52" spans="5:6" s="61" customFormat="1">
      <c r="E52" s="116" t="s">
        <v>39</v>
      </c>
      <c r="F52" s="154">
        <v>2000</v>
      </c>
    </row>
    <row r="53" spans="5:6" s="61" customFormat="1">
      <c r="E53" s="116" t="s">
        <v>22</v>
      </c>
      <c r="F53" s="154">
        <v>50000</v>
      </c>
    </row>
    <row r="54" spans="5:6" s="61" customFormat="1">
      <c r="E54" s="116" t="s">
        <v>69</v>
      </c>
      <c r="F54" s="154">
        <v>60000</v>
      </c>
    </row>
    <row r="55" spans="5:6" s="61" customFormat="1">
      <c r="E55" s="116" t="s">
        <v>40</v>
      </c>
      <c r="F55" s="154">
        <v>195000</v>
      </c>
    </row>
    <row r="56" spans="5:6" s="61" customFormat="1">
      <c r="E56" s="118" t="s">
        <v>41</v>
      </c>
      <c r="F56" s="119">
        <f>SUM(F45:F55)</f>
        <v>4197000</v>
      </c>
    </row>
    <row r="57" spans="5:6" s="61" customFormat="1">
      <c r="E57" s="118" t="s">
        <v>42</v>
      </c>
      <c r="F57" s="119">
        <f>F43-F56</f>
        <v>-1255225.5999999996</v>
      </c>
    </row>
    <row r="58" spans="5:6" s="61" customFormat="1">
      <c r="E58" s="82"/>
      <c r="F58" s="80"/>
    </row>
    <row r="59" spans="5:6" s="61" customFormat="1">
      <c r="E59" s="82" t="s">
        <v>43</v>
      </c>
      <c r="F59" s="80">
        <f>43800+180000</f>
        <v>223800</v>
      </c>
    </row>
    <row r="60" spans="5:6" s="61" customFormat="1">
      <c r="E60" s="82" t="s">
        <v>44</v>
      </c>
      <c r="F60" s="80">
        <f>100000+350000-20000-40000</f>
        <v>390000</v>
      </c>
    </row>
    <row r="61" spans="5:6" s="61" customFormat="1">
      <c r="E61" s="82" t="s">
        <v>91</v>
      </c>
      <c r="F61" s="117">
        <v>0</v>
      </c>
    </row>
    <row r="62" spans="5:6" s="61" customFormat="1">
      <c r="E62" s="118" t="s">
        <v>46</v>
      </c>
      <c r="F62" s="120">
        <f>SUM(F59:F61)</f>
        <v>613800</v>
      </c>
    </row>
    <row r="63" spans="5:6" s="61" customFormat="1">
      <c r="E63" s="82"/>
      <c r="F63" s="80"/>
    </row>
    <row r="64" spans="5:6">
      <c r="E64" s="118" t="s">
        <v>47</v>
      </c>
      <c r="F64" s="120">
        <f>F57-F62</f>
        <v>-1869025.5999999996</v>
      </c>
    </row>
  </sheetData>
  <mergeCells count="16">
    <mergeCell ref="B30:D30"/>
    <mergeCell ref="B31:D31"/>
    <mergeCell ref="G26:H26"/>
    <mergeCell ref="B16:D16"/>
    <mergeCell ref="B17:D17"/>
    <mergeCell ref="B18:D18"/>
    <mergeCell ref="B19:D19"/>
    <mergeCell ref="G20:H20"/>
    <mergeCell ref="G24:K24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0866E-1D96-43B6-AC99-C92DDAD07F4F}">
  <dimension ref="B6:P64"/>
  <sheetViews>
    <sheetView showGridLines="0" topLeftCell="A6" workbookViewId="0">
      <selection activeCell="A6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209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76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76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76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76"/>
      <c r="K11" s="1"/>
    </row>
    <row r="12" spans="2:11" ht="18" thickBot="1">
      <c r="B12" s="331" t="s">
        <v>2</v>
      </c>
      <c r="C12" s="332"/>
      <c r="D12" s="332"/>
      <c r="E12" s="333"/>
      <c r="F12" s="186"/>
      <c r="G12" s="1"/>
      <c r="H12" s="1"/>
      <c r="I12" s="1"/>
      <c r="J12" s="76"/>
      <c r="K12" s="1"/>
    </row>
    <row r="13" spans="2:11" ht="18" thickBot="1">
      <c r="B13" s="1"/>
      <c r="C13" s="1"/>
      <c r="D13" s="1"/>
      <c r="E13" s="1"/>
      <c r="F13" s="148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500980.91000000003</v>
      </c>
      <c r="F14" s="148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405077.35000000003</v>
      </c>
      <c r="F15" s="153">
        <f>E15+E16+E17</f>
        <v>500980.91000000003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35452.39</v>
      </c>
      <c r="F16" s="153">
        <v>90000</v>
      </c>
      <c r="G16" s="22">
        <v>28821.59</v>
      </c>
      <c r="H16" s="23" t="s">
        <v>8</v>
      </c>
      <c r="I16" s="24"/>
      <c r="J16" s="25">
        <v>157138.1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60451.17</v>
      </c>
      <c r="F17" s="153">
        <f>F15-F16</f>
        <v>410980.91000000003</v>
      </c>
      <c r="G17" s="22">
        <v>10338.26</v>
      </c>
      <c r="H17" s="29" t="s">
        <v>10</v>
      </c>
      <c r="I17" s="30"/>
      <c r="J17" s="25">
        <v>24668.65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2256995.23</v>
      </c>
      <c r="F18" s="153"/>
      <c r="G18" s="22">
        <v>21291.32</v>
      </c>
      <c r="H18" s="29" t="s">
        <v>12</v>
      </c>
      <c r="I18" s="30"/>
      <c r="J18" s="25">
        <v>215744.54</v>
      </c>
      <c r="K18" s="31" t="s">
        <v>12</v>
      </c>
    </row>
    <row r="19" spans="2:11">
      <c r="B19" s="344" t="s">
        <v>13</v>
      </c>
      <c r="C19" s="345"/>
      <c r="D19" s="346"/>
      <c r="E19" s="20">
        <v>18343006.399999999</v>
      </c>
      <c r="F19" s="153"/>
      <c r="G19" s="33"/>
      <c r="H19" s="34"/>
      <c r="I19" s="30"/>
      <c r="J19" s="25">
        <v>7526.06</v>
      </c>
      <c r="K19" s="31" t="s">
        <v>14</v>
      </c>
    </row>
    <row r="20" spans="2:11">
      <c r="B20" s="187" t="s">
        <v>15</v>
      </c>
      <c r="C20" s="188"/>
      <c r="D20" s="189"/>
      <c r="E20" s="190">
        <f>SUM(E21:E23)</f>
        <v>0</v>
      </c>
      <c r="F20" s="153"/>
      <c r="G20" s="361" t="s">
        <v>16</v>
      </c>
      <c r="H20" s="362"/>
      <c r="I20" s="36"/>
      <c r="J20" s="37"/>
      <c r="K20" s="38"/>
    </row>
    <row r="21" spans="2:11">
      <c r="B21" s="187"/>
      <c r="C21" s="188"/>
      <c r="D21" s="198"/>
      <c r="E21" s="190">
        <v>0</v>
      </c>
      <c r="F21" s="158">
        <f>SUM(E24:E31)</f>
        <v>365000</v>
      </c>
      <c r="G21" s="44">
        <v>14244.88</v>
      </c>
      <c r="H21" s="29" t="s">
        <v>10</v>
      </c>
      <c r="I21" s="30"/>
      <c r="J21" s="37"/>
      <c r="K21" s="45"/>
    </row>
    <row r="22" spans="2:11">
      <c r="B22" s="187"/>
      <c r="C22" s="188"/>
      <c r="D22" s="198"/>
      <c r="E22" s="190">
        <v>0</v>
      </c>
      <c r="F22" s="148">
        <f>+F17-F21</f>
        <v>45980.910000000033</v>
      </c>
      <c r="G22" s="44">
        <v>21207.51</v>
      </c>
      <c r="H22" s="29" t="s">
        <v>18</v>
      </c>
      <c r="I22" s="30"/>
      <c r="J22" s="50"/>
      <c r="K22" s="38"/>
    </row>
    <row r="23" spans="2:11" ht="15" thickBot="1">
      <c r="B23" s="187"/>
      <c r="C23" s="188"/>
      <c r="D23" s="198"/>
      <c r="E23" s="190">
        <v>0</v>
      </c>
      <c r="F23" s="148"/>
      <c r="G23" s="51"/>
      <c r="H23" s="34"/>
      <c r="I23" s="30"/>
      <c r="J23" s="210"/>
      <c r="K23" s="53"/>
    </row>
    <row r="24" spans="2:11" ht="15" thickBot="1">
      <c r="B24" s="46" t="s">
        <v>17</v>
      </c>
      <c r="C24" s="47"/>
      <c r="D24" s="48"/>
      <c r="E24" s="49">
        <v>0</v>
      </c>
      <c r="F24" s="148"/>
      <c r="G24" s="331" t="s">
        <v>21</v>
      </c>
      <c r="H24" s="332"/>
      <c r="I24" s="332"/>
      <c r="J24" s="332"/>
      <c r="K24" s="333"/>
    </row>
    <row r="25" spans="2:11">
      <c r="B25" s="202" t="s">
        <v>163</v>
      </c>
      <c r="C25" s="203"/>
      <c r="D25" s="204"/>
      <c r="E25" s="49">
        <v>75000</v>
      </c>
      <c r="F25" s="80"/>
      <c r="G25" s="54"/>
      <c r="H25" s="55"/>
      <c r="I25" s="56"/>
      <c r="J25" s="211"/>
      <c r="K25" s="58"/>
    </row>
    <row r="26" spans="2:11">
      <c r="B26" s="199" t="s">
        <v>64</v>
      </c>
      <c r="C26" s="200"/>
      <c r="D26" s="201"/>
      <c r="E26" s="49">
        <v>0</v>
      </c>
      <c r="F26" s="154"/>
      <c r="G26" s="347" t="s">
        <v>5</v>
      </c>
      <c r="H26" s="348"/>
      <c r="I26" s="59"/>
      <c r="J26" s="60"/>
      <c r="K26" s="45"/>
    </row>
    <row r="27" spans="2:11">
      <c r="B27" s="199" t="s">
        <v>23</v>
      </c>
      <c r="C27" s="200"/>
      <c r="D27" s="201"/>
      <c r="E27" s="49">
        <v>0</v>
      </c>
      <c r="F27" s="154"/>
      <c r="G27" s="22">
        <f>31702.23-11500-8500</f>
        <v>11702.23</v>
      </c>
      <c r="H27" s="62" t="s">
        <v>9</v>
      </c>
      <c r="I27" s="59"/>
      <c r="J27" s="60"/>
      <c r="K27" s="45"/>
    </row>
    <row r="28" spans="2:11">
      <c r="B28" s="199" t="s">
        <v>22</v>
      </c>
      <c r="C28" s="200"/>
      <c r="D28" s="201"/>
      <c r="E28" s="49">
        <v>0</v>
      </c>
      <c r="F28" s="154"/>
      <c r="G28" s="22">
        <v>1193209.1499999999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199" t="s">
        <v>24</v>
      </c>
      <c r="C29" s="200"/>
      <c r="D29" s="201"/>
      <c r="E29" s="49">
        <v>290000</v>
      </c>
      <c r="F29" s="154"/>
      <c r="G29" s="67">
        <v>231488.51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25</v>
      </c>
      <c r="C30" s="345"/>
      <c r="D30" s="346"/>
      <c r="E30" s="49">
        <v>0</v>
      </c>
      <c r="F30" s="154"/>
      <c r="G30" s="71">
        <f>1074620.87-254025.53</f>
        <v>820595.34000000008</v>
      </c>
      <c r="H30" s="72" t="s">
        <v>12</v>
      </c>
      <c r="I30" s="73"/>
      <c r="J30" s="74" t="s">
        <v>32</v>
      </c>
      <c r="K30" s="75" t="s">
        <v>33</v>
      </c>
    </row>
    <row r="31" spans="2:11" ht="15" thickBot="1">
      <c r="B31" s="363" t="s">
        <v>29</v>
      </c>
      <c r="C31" s="364"/>
      <c r="D31" s="365"/>
      <c r="E31" s="66">
        <v>0</v>
      </c>
      <c r="F31" s="154"/>
      <c r="G31" s="76"/>
      <c r="H31" s="76"/>
      <c r="I31" s="76"/>
      <c r="J31" s="76"/>
      <c r="K31" s="1"/>
    </row>
    <row r="37" spans="5:7">
      <c r="E37" s="181" t="s">
        <v>168</v>
      </c>
      <c r="F37" s="178"/>
      <c r="G37" s="8"/>
    </row>
    <row r="38" spans="5:7" s="61" customFormat="1" ht="15" customHeight="1">
      <c r="E38" s="181"/>
      <c r="F38" s="178"/>
      <c r="G38" s="86">
        <v>1659693.86</v>
      </c>
    </row>
    <row r="39" spans="5:7" s="61" customFormat="1" ht="15" customHeight="1">
      <c r="E39" s="8" t="s">
        <v>34</v>
      </c>
      <c r="F39" s="178">
        <f>F17</f>
        <v>410980.91000000003</v>
      </c>
      <c r="G39" s="86">
        <v>480000</v>
      </c>
    </row>
    <row r="40" spans="5:7" s="61" customFormat="1" ht="15" customHeight="1">
      <c r="E40" s="8" t="s">
        <v>35</v>
      </c>
      <c r="F40" s="213">
        <f>+E18</f>
        <v>2256995.23</v>
      </c>
      <c r="G40" s="86"/>
    </row>
    <row r="41" spans="5:7" s="61" customFormat="1" ht="15" customHeight="1">
      <c r="E41" s="8" t="s">
        <v>36</v>
      </c>
      <c r="F41" s="178">
        <v>0</v>
      </c>
      <c r="G41" s="88"/>
    </row>
    <row r="42" spans="5:7" s="61" customFormat="1" ht="15" customHeight="1">
      <c r="E42" s="8" t="s">
        <v>37</v>
      </c>
      <c r="F42" s="178">
        <v>0</v>
      </c>
      <c r="G42" s="13"/>
    </row>
    <row r="43" spans="5:7" s="61" customFormat="1" ht="15" customHeight="1">
      <c r="E43" s="182" t="s">
        <v>38</v>
      </c>
      <c r="F43" s="179">
        <f>SUM(F39:F42)</f>
        <v>2667976.14</v>
      </c>
      <c r="G43" s="13"/>
    </row>
    <row r="44" spans="5:7" s="61" customFormat="1" ht="15" customHeight="1">
      <c r="E44" s="183"/>
      <c r="F44" s="174"/>
    </row>
    <row r="45" spans="5:7" s="61" customFormat="1" ht="15" customHeight="1">
      <c r="E45" s="114" t="s">
        <v>164</v>
      </c>
      <c r="F45" s="154">
        <v>95000</v>
      </c>
    </row>
    <row r="46" spans="5:7" s="61" customFormat="1" ht="15" customHeight="1">
      <c r="E46" s="113" t="s">
        <v>165</v>
      </c>
      <c r="F46" s="154">
        <v>1500000</v>
      </c>
    </row>
    <row r="47" spans="5:7" s="61" customFormat="1" ht="15" customHeight="1">
      <c r="E47" s="114" t="s">
        <v>166</v>
      </c>
      <c r="F47" s="154">
        <v>80000</v>
      </c>
    </row>
    <row r="48" spans="5:7" s="61" customFormat="1" ht="15" customHeight="1">
      <c r="E48" s="114" t="s">
        <v>167</v>
      </c>
      <c r="F48" s="154">
        <v>75000</v>
      </c>
    </row>
    <row r="49" spans="5:6" s="61" customFormat="1" ht="15" customHeight="1">
      <c r="E49" s="114" t="s">
        <v>80</v>
      </c>
      <c r="F49" s="154">
        <v>1700000</v>
      </c>
    </row>
    <row r="50" spans="5:6" s="61" customFormat="1" ht="15" customHeight="1">
      <c r="E50" s="114" t="s">
        <v>64</v>
      </c>
      <c r="F50" s="154">
        <v>0</v>
      </c>
    </row>
    <row r="51" spans="5:6" s="61" customFormat="1" ht="15" customHeight="1">
      <c r="E51" s="116" t="s">
        <v>24</v>
      </c>
      <c r="F51" s="154">
        <f>15000+65000+210000</f>
        <v>290000</v>
      </c>
    </row>
    <row r="52" spans="5:6" s="61" customFormat="1">
      <c r="E52" s="116" t="s">
        <v>39</v>
      </c>
      <c r="F52" s="154">
        <v>2000</v>
      </c>
    </row>
    <row r="53" spans="5:6" s="61" customFormat="1">
      <c r="E53" s="116" t="s">
        <v>22</v>
      </c>
      <c r="F53" s="154">
        <v>50000</v>
      </c>
    </row>
    <row r="54" spans="5:6" s="61" customFormat="1">
      <c r="E54" s="116" t="s">
        <v>69</v>
      </c>
      <c r="F54" s="154">
        <v>60000</v>
      </c>
    </row>
    <row r="55" spans="5:6" s="61" customFormat="1">
      <c r="E55" s="116" t="s">
        <v>40</v>
      </c>
      <c r="F55" s="154">
        <f>195000-90000</f>
        <v>105000</v>
      </c>
    </row>
    <row r="56" spans="5:6" s="61" customFormat="1">
      <c r="E56" s="118" t="s">
        <v>41</v>
      </c>
      <c r="F56" s="119">
        <f>SUM(F45:F55)</f>
        <v>3957000</v>
      </c>
    </row>
    <row r="57" spans="5:6" s="61" customFormat="1">
      <c r="E57" s="118" t="s">
        <v>42</v>
      </c>
      <c r="F57" s="119">
        <f>F43-F56</f>
        <v>-1289023.8599999999</v>
      </c>
    </row>
    <row r="58" spans="5:6" s="61" customFormat="1">
      <c r="E58" s="82"/>
      <c r="F58" s="80"/>
    </row>
    <row r="59" spans="5:6" s="61" customFormat="1">
      <c r="E59" s="82" t="s">
        <v>43</v>
      </c>
      <c r="F59" s="80">
        <f>43800+180000</f>
        <v>223800</v>
      </c>
    </row>
    <row r="60" spans="5:6" s="61" customFormat="1">
      <c r="E60" s="82" t="s">
        <v>44</v>
      </c>
      <c r="F60" s="80">
        <f>100000+350000-20000-40000</f>
        <v>390000</v>
      </c>
    </row>
    <row r="61" spans="5:6" s="61" customFormat="1">
      <c r="E61" s="82" t="s">
        <v>91</v>
      </c>
      <c r="F61" s="117">
        <v>0</v>
      </c>
    </row>
    <row r="62" spans="5:6" s="61" customFormat="1">
      <c r="E62" s="118" t="s">
        <v>46</v>
      </c>
      <c r="F62" s="120">
        <f>SUM(F59:F61)</f>
        <v>613800</v>
      </c>
    </row>
    <row r="63" spans="5:6" s="61" customFormat="1">
      <c r="E63" s="82"/>
      <c r="F63" s="80"/>
    </row>
    <row r="64" spans="5:6">
      <c r="E64" s="118" t="s">
        <v>47</v>
      </c>
      <c r="F64" s="120">
        <f>F57-F62</f>
        <v>-1902823.8599999999</v>
      </c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6:H26"/>
    <mergeCell ref="B30:D30"/>
    <mergeCell ref="B31:D31"/>
    <mergeCell ref="B16:D16"/>
    <mergeCell ref="B17:D17"/>
    <mergeCell ref="B18:D18"/>
    <mergeCell ref="B19:D19"/>
    <mergeCell ref="G20:H20"/>
    <mergeCell ref="G24:K24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38CF4-60CB-4920-B457-73E14A060E17}">
  <dimension ref="B6:P61"/>
  <sheetViews>
    <sheetView showGridLines="0" topLeftCell="A30" workbookViewId="0">
      <selection activeCell="A30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79" customWidth="1"/>
    <col min="7" max="7" width="15.7265625" customWidth="1"/>
    <col min="8" max="8" width="19.7265625" customWidth="1"/>
    <col min="9" max="9" width="1.453125" customWidth="1"/>
    <col min="10" max="10" width="24.26953125" customWidth="1"/>
    <col min="11" max="11" width="22.26953125" bestFit="1" customWidth="1"/>
    <col min="12" max="12" width="20.26953125" bestFit="1" customWidth="1"/>
    <col min="13" max="13" width="16.269531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3" s="8" customFormat="1" ht="18">
      <c r="B6" s="5"/>
      <c r="C6" s="5"/>
      <c r="D6" s="5"/>
      <c r="E6" s="6" t="s">
        <v>0</v>
      </c>
      <c r="F6" s="7"/>
      <c r="G6" s="5"/>
      <c r="H6" s="5"/>
      <c r="I6" s="5"/>
      <c r="J6" s="5"/>
      <c r="K6" s="5"/>
    </row>
    <row r="7" spans="2:13">
      <c r="B7" s="1"/>
      <c r="C7" s="1"/>
      <c r="D7" s="1"/>
      <c r="E7" s="1"/>
      <c r="F7" s="2"/>
      <c r="G7" s="1"/>
      <c r="H7" s="1"/>
      <c r="I7" s="1"/>
      <c r="J7" s="1"/>
      <c r="K7" s="1"/>
    </row>
    <row r="8" spans="2:13">
      <c r="B8" s="1"/>
      <c r="C8" s="1"/>
      <c r="D8" s="1"/>
      <c r="E8" s="1"/>
      <c r="F8" s="2"/>
      <c r="G8" s="1"/>
      <c r="H8" s="1"/>
      <c r="I8" s="4"/>
      <c r="J8" s="1"/>
      <c r="K8" s="1"/>
    </row>
    <row r="9" spans="2:13">
      <c r="B9" s="1"/>
      <c r="C9" s="1"/>
      <c r="D9" s="1"/>
      <c r="E9" s="1"/>
      <c r="F9" s="2"/>
      <c r="G9" s="1"/>
      <c r="H9" s="1"/>
      <c r="I9" s="4"/>
      <c r="J9" s="1"/>
      <c r="K9" s="1"/>
    </row>
    <row r="10" spans="2:13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3" ht="15" thickBot="1">
      <c r="B11" s="1"/>
      <c r="C11" s="1"/>
      <c r="D11" s="1"/>
      <c r="E11" s="1"/>
      <c r="F11" s="2"/>
      <c r="G11" s="1"/>
      <c r="H11" s="1"/>
      <c r="I11" s="1"/>
      <c r="J11" s="1"/>
      <c r="K11" s="1"/>
    </row>
    <row r="12" spans="2:13" ht="18" thickBot="1">
      <c r="B12" s="331" t="s">
        <v>2</v>
      </c>
      <c r="C12" s="332"/>
      <c r="D12" s="332"/>
      <c r="E12" s="333"/>
      <c r="F12" s="12"/>
      <c r="G12" s="1"/>
      <c r="H12" s="1"/>
      <c r="I12" s="1"/>
      <c r="J12" s="1"/>
      <c r="K12" s="1"/>
      <c r="L12" s="13"/>
      <c r="M12" t="s">
        <v>20</v>
      </c>
    </row>
    <row r="13" spans="2:13" ht="18" thickBot="1">
      <c r="B13" s="1"/>
      <c r="C13" s="1"/>
      <c r="D13" s="1"/>
      <c r="E13" s="1"/>
      <c r="F13" s="123"/>
      <c r="G13" s="11"/>
      <c r="H13" s="11"/>
      <c r="I13" s="11"/>
      <c r="J13" s="15"/>
      <c r="K13" s="16"/>
      <c r="L13" s="13"/>
    </row>
    <row r="14" spans="2:13" ht="15" thickBot="1">
      <c r="B14" s="334" t="s">
        <v>3</v>
      </c>
      <c r="C14" s="335"/>
      <c r="D14" s="336"/>
      <c r="E14" s="17">
        <f>SUM(E15:E17)</f>
        <v>170235.01999999996</v>
      </c>
      <c r="F14" s="18"/>
      <c r="G14" s="331" t="s">
        <v>4</v>
      </c>
      <c r="H14" s="332"/>
      <c r="I14" s="332"/>
      <c r="J14" s="332"/>
      <c r="K14" s="333"/>
      <c r="L14" s="19"/>
    </row>
    <row r="15" spans="2:13">
      <c r="B15" s="337" t="s">
        <v>5</v>
      </c>
      <c r="C15" s="338"/>
      <c r="D15" s="339"/>
      <c r="E15" s="20">
        <f>J16+J17+J18+J19</f>
        <v>112128.55</v>
      </c>
      <c r="F15" s="102">
        <f>E15+E16+E17</f>
        <v>170235.01999999996</v>
      </c>
      <c r="G15" s="340" t="s">
        <v>6</v>
      </c>
      <c r="H15" s="341"/>
      <c r="I15" s="21"/>
      <c r="J15" s="342" t="s">
        <v>5</v>
      </c>
      <c r="K15" s="343"/>
      <c r="L15" s="13"/>
    </row>
    <row r="16" spans="2:13">
      <c r="B16" s="349" t="s">
        <v>7</v>
      </c>
      <c r="C16" s="350"/>
      <c r="D16" s="351"/>
      <c r="E16" s="20">
        <f>G21+G22</f>
        <v>23368.949999999997</v>
      </c>
      <c r="F16" s="102">
        <v>90000</v>
      </c>
      <c r="G16" s="22">
        <v>12592.59</v>
      </c>
      <c r="H16" s="23" t="s">
        <v>8</v>
      </c>
      <c r="I16" s="24"/>
      <c r="J16" s="25">
        <v>13018.6</v>
      </c>
      <c r="K16" s="26" t="s">
        <v>9</v>
      </c>
      <c r="L16" s="13"/>
    </row>
    <row r="17" spans="2:14">
      <c r="B17" s="352" t="s">
        <v>6</v>
      </c>
      <c r="C17" s="353"/>
      <c r="D17" s="354"/>
      <c r="E17" s="28">
        <f>G16+G17+G18</f>
        <v>34737.519999999953</v>
      </c>
      <c r="F17" s="102">
        <f>F15-F16</f>
        <v>80235.01999999996</v>
      </c>
      <c r="G17" s="22">
        <v>10091.48</v>
      </c>
      <c r="H17" s="29" t="s">
        <v>10</v>
      </c>
      <c r="I17" s="30"/>
      <c r="J17" s="25">
        <v>47054.71</v>
      </c>
      <c r="K17" s="31" t="s">
        <v>10</v>
      </c>
      <c r="L17" s="13"/>
    </row>
    <row r="18" spans="2:14">
      <c r="B18" s="355" t="s">
        <v>11</v>
      </c>
      <c r="C18" s="356"/>
      <c r="D18" s="357"/>
      <c r="E18" s="20">
        <f>G28+G30+G29+G27</f>
        <v>3319848.1999999997</v>
      </c>
      <c r="F18" s="103"/>
      <c r="G18" s="22">
        <f>552053.45-540000</f>
        <v>12053.449999999953</v>
      </c>
      <c r="H18" s="29" t="s">
        <v>12</v>
      </c>
      <c r="I18" s="30"/>
      <c r="J18" s="25">
        <v>35766.76</v>
      </c>
      <c r="K18" s="31" t="s">
        <v>12</v>
      </c>
      <c r="L18" s="32"/>
    </row>
    <row r="19" spans="2:14">
      <c r="B19" s="344" t="s">
        <v>13</v>
      </c>
      <c r="C19" s="345"/>
      <c r="D19" s="346"/>
      <c r="E19" s="20">
        <v>14346219.26</v>
      </c>
      <c r="F19" s="102"/>
      <c r="G19" s="33"/>
      <c r="H19" s="34"/>
      <c r="I19" s="30"/>
      <c r="J19" s="25">
        <v>16288.48</v>
      </c>
      <c r="K19" s="31" t="s">
        <v>14</v>
      </c>
      <c r="L19" s="13"/>
    </row>
    <row r="20" spans="2:14">
      <c r="B20" s="358" t="s">
        <v>15</v>
      </c>
      <c r="C20" s="359"/>
      <c r="D20" s="360"/>
      <c r="E20" s="35">
        <f>SUM(E21:E22)</f>
        <v>0</v>
      </c>
      <c r="F20" s="104"/>
      <c r="G20" s="361" t="s">
        <v>16</v>
      </c>
      <c r="H20" s="362"/>
      <c r="I20" s="36"/>
      <c r="J20" s="37"/>
      <c r="K20" s="38"/>
      <c r="L20" s="39"/>
    </row>
    <row r="21" spans="2:14">
      <c r="B21" s="40"/>
      <c r="C21" s="41"/>
      <c r="D21" s="122"/>
      <c r="E21" s="43">
        <v>0</v>
      </c>
      <c r="F21" s="104"/>
      <c r="G21" s="44">
        <v>11401.56</v>
      </c>
      <c r="H21" s="29" t="s">
        <v>10</v>
      </c>
      <c r="I21" s="30"/>
      <c r="J21" s="37"/>
      <c r="K21" s="45"/>
      <c r="L21" s="39"/>
    </row>
    <row r="22" spans="2:14">
      <c r="B22" s="40"/>
      <c r="C22" s="41"/>
      <c r="D22" s="122"/>
      <c r="E22" s="43">
        <v>0</v>
      </c>
      <c r="F22" s="104"/>
      <c r="G22" s="44">
        <v>11967.39</v>
      </c>
      <c r="H22" s="29" t="s">
        <v>18</v>
      </c>
      <c r="I22" s="30"/>
      <c r="J22" s="50"/>
      <c r="K22" s="38"/>
      <c r="L22" s="39"/>
    </row>
    <row r="23" spans="2:14" ht="15" thickBot="1">
      <c r="B23" s="46" t="s">
        <v>17</v>
      </c>
      <c r="C23" s="47"/>
      <c r="D23" s="48"/>
      <c r="E23" s="49">
        <v>79278.5</v>
      </c>
      <c r="F23" s="104"/>
      <c r="G23" s="51"/>
      <c r="H23" s="34"/>
      <c r="I23" s="30"/>
      <c r="J23" s="52"/>
      <c r="K23" s="53"/>
      <c r="L23" s="39"/>
      <c r="N23" t="s">
        <v>20</v>
      </c>
    </row>
    <row r="24" spans="2:14" ht="15" thickBot="1">
      <c r="B24" s="366" t="s">
        <v>58</v>
      </c>
      <c r="C24" s="367"/>
      <c r="D24" s="368"/>
      <c r="E24" s="49">
        <v>0</v>
      </c>
      <c r="F24" s="61"/>
      <c r="G24" s="331" t="s">
        <v>21</v>
      </c>
      <c r="H24" s="332"/>
      <c r="I24" s="332"/>
      <c r="J24" s="332"/>
      <c r="K24" s="333"/>
      <c r="L24" s="39"/>
    </row>
    <row r="25" spans="2:14">
      <c r="B25" s="344" t="s">
        <v>59</v>
      </c>
      <c r="C25" s="345"/>
      <c r="D25" s="346"/>
      <c r="E25" s="49">
        <v>0</v>
      </c>
      <c r="F25" s="61"/>
      <c r="G25" s="54"/>
      <c r="H25" s="55"/>
      <c r="I25" s="56"/>
      <c r="J25" s="57"/>
      <c r="K25" s="58"/>
      <c r="L25" s="39"/>
    </row>
    <row r="26" spans="2:14">
      <c r="B26" s="344" t="s">
        <v>22</v>
      </c>
      <c r="C26" s="345"/>
      <c r="D26" s="346"/>
      <c r="E26" s="49">
        <v>0</v>
      </c>
      <c r="F26" s="13">
        <v>0</v>
      </c>
      <c r="G26" s="347" t="s">
        <v>5</v>
      </c>
      <c r="H26" s="348"/>
      <c r="I26" s="59"/>
      <c r="J26" s="60"/>
      <c r="K26" s="45"/>
      <c r="L26" s="61"/>
    </row>
    <row r="27" spans="2:14">
      <c r="B27" s="344" t="s">
        <v>64</v>
      </c>
      <c r="C27" s="345"/>
      <c r="D27" s="346"/>
      <c r="E27" s="49">
        <v>190752</v>
      </c>
      <c r="F27" s="104">
        <v>60000</v>
      </c>
      <c r="G27" s="22">
        <f>76554.51-11500</f>
        <v>65054.509999999995</v>
      </c>
      <c r="H27" s="62" t="s">
        <v>9</v>
      </c>
      <c r="I27" s="59"/>
      <c r="J27" s="60"/>
      <c r="K27" s="45"/>
      <c r="L27" s="61"/>
    </row>
    <row r="28" spans="2:14">
      <c r="B28" s="344" t="s">
        <v>24</v>
      </c>
      <c r="C28" s="345"/>
      <c r="D28" s="346"/>
      <c r="E28" s="49">
        <v>0</v>
      </c>
      <c r="F28" s="104">
        <v>385000</v>
      </c>
      <c r="G28" s="22">
        <v>387023.8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4">
      <c r="B29" s="344" t="s">
        <v>25</v>
      </c>
      <c r="C29" s="345"/>
      <c r="D29" s="346"/>
      <c r="E29" s="49">
        <v>0</v>
      </c>
      <c r="F29" s="104">
        <v>100000</v>
      </c>
      <c r="G29" s="67">
        <v>101288.49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4" ht="15" thickBot="1">
      <c r="B30" s="363" t="s">
        <v>29</v>
      </c>
      <c r="C30" s="364"/>
      <c r="D30" s="365"/>
      <c r="E30" s="66">
        <v>0</v>
      </c>
      <c r="F30" s="104">
        <v>2765000</v>
      </c>
      <c r="G30" s="71">
        <v>2766481.4</v>
      </c>
      <c r="H30" s="72" t="s">
        <v>12</v>
      </c>
      <c r="I30" s="73"/>
      <c r="J30" s="74" t="s">
        <v>32</v>
      </c>
      <c r="K30" s="75" t="s">
        <v>33</v>
      </c>
      <c r="L30" s="61"/>
    </row>
    <row r="31" spans="2:14">
      <c r="B31" s="69"/>
      <c r="C31" s="69"/>
      <c r="D31" s="70"/>
      <c r="E31" s="101"/>
      <c r="F31" s="32">
        <f>SUM(F26:F30)</f>
        <v>3310000</v>
      </c>
      <c r="G31" s="76"/>
      <c r="H31" s="76"/>
      <c r="I31" s="76"/>
      <c r="J31" s="76"/>
      <c r="K31" s="1"/>
      <c r="L31" s="77"/>
    </row>
    <row r="34" spans="5:7">
      <c r="E34" s="78" t="s">
        <v>66</v>
      </c>
      <c r="F34" s="78"/>
    </row>
    <row r="35" spans="5:7">
      <c r="E35" s="78"/>
      <c r="F35" s="78"/>
    </row>
    <row r="36" spans="5:7">
      <c r="E36" s="83" t="s">
        <v>34</v>
      </c>
      <c r="F36" s="88">
        <f>F17</f>
        <v>80235.01999999996</v>
      </c>
    </row>
    <row r="37" spans="5:7">
      <c r="E37" s="83" t="s">
        <v>35</v>
      </c>
      <c r="F37" s="88">
        <f>+F31</f>
        <v>3310000</v>
      </c>
    </row>
    <row r="38" spans="5:7" s="61" customFormat="1" ht="15" customHeight="1">
      <c r="E38" s="83" t="s">
        <v>36</v>
      </c>
      <c r="F38" s="88">
        <v>0</v>
      </c>
      <c r="G38" s="8"/>
    </row>
    <row r="39" spans="5:7" s="61" customFormat="1" ht="15" customHeight="1">
      <c r="E39" s="83" t="s">
        <v>37</v>
      </c>
      <c r="F39" s="88">
        <v>0</v>
      </c>
      <c r="G39" s="86"/>
    </row>
    <row r="40" spans="5:7" s="61" customFormat="1" ht="15" customHeight="1">
      <c r="E40" s="85" t="s">
        <v>38</v>
      </c>
      <c r="F40" s="92">
        <f>SUM(F36:F39)</f>
        <v>3390235.02</v>
      </c>
      <c r="G40" s="86"/>
    </row>
    <row r="41" spans="5:7" s="61" customFormat="1" ht="15" customHeight="1">
      <c r="E41" s="87"/>
      <c r="F41" s="93"/>
      <c r="G41" s="86"/>
    </row>
    <row r="42" spans="5:7" s="61" customFormat="1" ht="15" customHeight="1">
      <c r="E42" s="89" t="s">
        <v>65</v>
      </c>
      <c r="F42" s="93">
        <v>75000</v>
      </c>
      <c r="G42" s="9"/>
    </row>
    <row r="43" spans="5:7" s="61" customFormat="1" ht="15" customHeight="1">
      <c r="E43" s="87" t="s">
        <v>67</v>
      </c>
      <c r="F43" s="93">
        <v>1450000</v>
      </c>
      <c r="G43" s="9"/>
    </row>
    <row r="44" spans="5:7" s="61" customFormat="1" ht="15" customHeight="1">
      <c r="E44" s="90" t="s">
        <v>68</v>
      </c>
      <c r="F44" s="93">
        <v>67500</v>
      </c>
      <c r="G44" s="9"/>
    </row>
    <row r="45" spans="5:7" s="61" customFormat="1" ht="15" customHeight="1">
      <c r="E45" s="91" t="s">
        <v>24</v>
      </c>
      <c r="F45" s="95">
        <f>65000+15000+215000</f>
        <v>295000</v>
      </c>
      <c r="G45" s="94">
        <v>810000</v>
      </c>
    </row>
    <row r="46" spans="5:7" s="61" customFormat="1" ht="15" customHeight="1">
      <c r="E46" s="91" t="s">
        <v>39</v>
      </c>
      <c r="F46" s="95">
        <v>2000</v>
      </c>
      <c r="G46" s="9"/>
    </row>
    <row r="47" spans="5:7" s="61" customFormat="1" ht="15" customHeight="1">
      <c r="E47" s="91" t="s">
        <v>22</v>
      </c>
      <c r="F47" s="95">
        <v>35000</v>
      </c>
      <c r="G47" s="9"/>
    </row>
    <row r="48" spans="5:7" s="61" customFormat="1" ht="15" customHeight="1">
      <c r="E48" s="91" t="s">
        <v>69</v>
      </c>
      <c r="F48" s="95">
        <v>58322</v>
      </c>
      <c r="G48" s="9"/>
    </row>
    <row r="49" spans="5:7" s="61" customFormat="1" ht="15" customHeight="1">
      <c r="E49" s="91" t="s">
        <v>52</v>
      </c>
      <c r="F49" s="95">
        <v>190752</v>
      </c>
      <c r="G49" s="9"/>
    </row>
    <row r="50" spans="5:7" s="61" customFormat="1" ht="15" customHeight="1">
      <c r="E50" s="91" t="s">
        <v>54</v>
      </c>
      <c r="F50" s="95">
        <v>650000</v>
      </c>
      <c r="G50" s="9"/>
    </row>
    <row r="51" spans="5:7" s="61" customFormat="1" ht="15" customHeight="1">
      <c r="E51" s="91" t="s">
        <v>55</v>
      </c>
      <c r="F51" s="95">
        <v>290000</v>
      </c>
      <c r="G51" s="9"/>
    </row>
    <row r="52" spans="5:7" s="61" customFormat="1" ht="15" customHeight="1">
      <c r="E52" s="91" t="s">
        <v>40</v>
      </c>
      <c r="F52" s="93">
        <f>170000-15000-55000</f>
        <v>100000</v>
      </c>
      <c r="G52" s="9"/>
    </row>
    <row r="53" spans="5:7" s="61" customFormat="1" ht="15" customHeight="1">
      <c r="E53" s="96" t="s">
        <v>41</v>
      </c>
      <c r="F53" s="97">
        <f>SUM(F42:F52)</f>
        <v>3213574</v>
      </c>
      <c r="G53" s="82"/>
    </row>
    <row r="54" spans="5:7" s="61" customFormat="1" ht="15" customHeight="1">
      <c r="E54" s="96" t="s">
        <v>42</v>
      </c>
      <c r="F54" s="97">
        <f>F40-F53</f>
        <v>176661.02000000002</v>
      </c>
      <c r="G54" s="82"/>
    </row>
    <row r="55" spans="5:7" s="61" customFormat="1" ht="15" customHeight="1">
      <c r="E55" s="83"/>
      <c r="F55" s="83"/>
      <c r="G55" s="8"/>
    </row>
    <row r="56" spans="5:7" s="61" customFormat="1">
      <c r="E56" s="83" t="s">
        <v>43</v>
      </c>
      <c r="F56" s="98">
        <f>43800+180000</f>
        <v>223800</v>
      </c>
      <c r="G56" s="8"/>
    </row>
    <row r="57" spans="5:7" s="61" customFormat="1">
      <c r="E57" s="83" t="s">
        <v>44</v>
      </c>
      <c r="F57" s="98">
        <v>0</v>
      </c>
      <c r="G57" s="8"/>
    </row>
    <row r="58" spans="5:7" s="61" customFormat="1">
      <c r="E58" s="83" t="s">
        <v>45</v>
      </c>
      <c r="F58" s="95">
        <v>0</v>
      </c>
      <c r="G58" s="8"/>
    </row>
    <row r="59" spans="5:7" s="61" customFormat="1">
      <c r="E59" s="96" t="s">
        <v>46</v>
      </c>
      <c r="F59" s="99">
        <f>SUM(F56:F58)</f>
        <v>223800</v>
      </c>
      <c r="G59" s="8"/>
    </row>
    <row r="60" spans="5:7" s="61" customFormat="1">
      <c r="E60" s="83"/>
      <c r="F60" s="83"/>
      <c r="G60" s="8"/>
    </row>
    <row r="61" spans="5:7" s="61" customFormat="1">
      <c r="E61" s="96" t="s">
        <v>47</v>
      </c>
      <c r="F61" s="100">
        <f>F54-F59</f>
        <v>-47138.979999999981</v>
      </c>
      <c r="G61" s="8"/>
    </row>
  </sheetData>
  <mergeCells count="22">
    <mergeCell ref="B28:D28"/>
    <mergeCell ref="B29:D29"/>
    <mergeCell ref="B30:D30"/>
    <mergeCell ref="G24:K24"/>
    <mergeCell ref="G26:H26"/>
    <mergeCell ref="B24:D24"/>
    <mergeCell ref="B25:D25"/>
    <mergeCell ref="B26:D26"/>
    <mergeCell ref="B27:D27"/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</mergeCells>
  <pageMargins left="0.7" right="0.7" top="0.75" bottom="0.75" header="0.3" footer="0.3"/>
  <drawing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7F345-9560-40F0-8D11-758B5BABDA9E}">
  <dimension ref="B6:P64"/>
  <sheetViews>
    <sheetView showGridLines="0" workbookViewId="0">
      <selection activeCell="B35" sqref="B35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209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76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76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76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76"/>
      <c r="K11" s="1"/>
    </row>
    <row r="12" spans="2:11" ht="18" thickBot="1">
      <c r="B12" s="331" t="s">
        <v>2</v>
      </c>
      <c r="C12" s="332"/>
      <c r="D12" s="332"/>
      <c r="E12" s="333"/>
      <c r="F12" s="186"/>
      <c r="G12" s="1"/>
      <c r="H12" s="1"/>
      <c r="I12" s="1"/>
      <c r="J12" s="76"/>
      <c r="K12" s="1"/>
    </row>
    <row r="13" spans="2:11" ht="18" thickBot="1">
      <c r="B13" s="1"/>
      <c r="C13" s="1"/>
      <c r="D13" s="1"/>
      <c r="E13" s="1"/>
      <c r="F13" s="148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523286.42999999993</v>
      </c>
      <c r="F14" s="148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356366.86999999994</v>
      </c>
      <c r="F15" s="153">
        <f>E15+E16+E17</f>
        <v>523286.42999999993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35452.39</v>
      </c>
      <c r="F16" s="153">
        <v>90000</v>
      </c>
      <c r="G16" s="22">
        <v>28821.59</v>
      </c>
      <c r="H16" s="23" t="s">
        <v>8</v>
      </c>
      <c r="I16" s="24"/>
      <c r="J16" s="25">
        <v>154379.18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131467.16999999998</v>
      </c>
      <c r="F17" s="153">
        <f>F15-F16</f>
        <v>433286.42999999993</v>
      </c>
      <c r="G17" s="22">
        <v>19146.939999999999</v>
      </c>
      <c r="H17" s="29" t="s">
        <v>10</v>
      </c>
      <c r="I17" s="30"/>
      <c r="J17" s="25">
        <v>74668.649999999994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2037462.52</v>
      </c>
      <c r="F18" s="153"/>
      <c r="G18" s="22">
        <v>83498.64</v>
      </c>
      <c r="H18" s="29" t="s">
        <v>12</v>
      </c>
      <c r="I18" s="30"/>
      <c r="J18" s="25">
        <v>112805.38</v>
      </c>
      <c r="K18" s="31" t="s">
        <v>12</v>
      </c>
    </row>
    <row r="19" spans="2:11">
      <c r="B19" s="344" t="s">
        <v>13</v>
      </c>
      <c r="C19" s="345"/>
      <c r="D19" s="346"/>
      <c r="E19" s="20">
        <f>18655228.96-E22</f>
        <v>18593021.640000001</v>
      </c>
      <c r="F19" s="153"/>
      <c r="G19" s="33"/>
      <c r="H19" s="34"/>
      <c r="I19" s="30"/>
      <c r="J19" s="25">
        <v>14513.66</v>
      </c>
      <c r="K19" s="31" t="s">
        <v>14</v>
      </c>
    </row>
    <row r="20" spans="2:11">
      <c r="B20" s="187" t="s">
        <v>15</v>
      </c>
      <c r="C20" s="188"/>
      <c r="D20" s="189"/>
      <c r="E20" s="190">
        <f>SUM(E21:E23)</f>
        <v>67918</v>
      </c>
      <c r="F20" s="153"/>
      <c r="G20" s="361" t="s">
        <v>16</v>
      </c>
      <c r="H20" s="362"/>
      <c r="I20" s="36"/>
      <c r="J20" s="37"/>
      <c r="K20" s="38"/>
    </row>
    <row r="21" spans="2:11">
      <c r="B21" s="187"/>
      <c r="C21" s="188"/>
      <c r="D21" s="198" t="s">
        <v>56</v>
      </c>
      <c r="E21" s="190">
        <v>5710.68</v>
      </c>
      <c r="F21" s="158">
        <f>SUM(E24:E31)</f>
        <v>55914.539999999994</v>
      </c>
      <c r="G21" s="44">
        <v>14244.88</v>
      </c>
      <c r="H21" s="29" t="s">
        <v>10</v>
      </c>
      <c r="I21" s="30"/>
      <c r="J21" s="37"/>
      <c r="K21" s="45"/>
    </row>
    <row r="22" spans="2:11">
      <c r="B22" s="187"/>
      <c r="C22" s="188"/>
      <c r="D22" s="198" t="s">
        <v>93</v>
      </c>
      <c r="E22" s="190">
        <v>62207.32</v>
      </c>
      <c r="F22" s="148">
        <f>+F17-F21</f>
        <v>377371.88999999996</v>
      </c>
      <c r="G22" s="44">
        <v>21207.51</v>
      </c>
      <c r="H22" s="29" t="s">
        <v>18</v>
      </c>
      <c r="I22" s="30"/>
      <c r="J22" s="50"/>
      <c r="K22" s="38"/>
    </row>
    <row r="23" spans="2:11" ht="15" thickBot="1">
      <c r="B23" s="187"/>
      <c r="C23" s="188"/>
      <c r="D23" s="198"/>
      <c r="E23" s="190">
        <v>0</v>
      </c>
      <c r="F23" s="148"/>
      <c r="G23" s="51"/>
      <c r="H23" s="34"/>
      <c r="I23" s="30"/>
      <c r="J23" s="210"/>
      <c r="K23" s="53"/>
    </row>
    <row r="24" spans="2:11" ht="15" thickBot="1">
      <c r="B24" s="46" t="s">
        <v>17</v>
      </c>
      <c r="C24" s="47"/>
      <c r="D24" s="48"/>
      <c r="E24" s="49">
        <v>44181.34</v>
      </c>
      <c r="F24" s="148"/>
      <c r="G24" s="331" t="s">
        <v>21</v>
      </c>
      <c r="H24" s="332"/>
      <c r="I24" s="332"/>
      <c r="J24" s="332"/>
      <c r="K24" s="333"/>
    </row>
    <row r="25" spans="2:11">
      <c r="B25" s="202" t="s">
        <v>163</v>
      </c>
      <c r="C25" s="203"/>
      <c r="D25" s="204"/>
      <c r="E25" s="49">
        <v>0</v>
      </c>
      <c r="F25" s="80"/>
      <c r="G25" s="54"/>
      <c r="H25" s="55"/>
      <c r="I25" s="56"/>
      <c r="J25" s="211"/>
      <c r="K25" s="58"/>
    </row>
    <row r="26" spans="2:11">
      <c r="B26" s="199" t="s">
        <v>64</v>
      </c>
      <c r="C26" s="200"/>
      <c r="D26" s="201"/>
      <c r="E26" s="49">
        <v>0</v>
      </c>
      <c r="F26" s="154"/>
      <c r="G26" s="347" t="s">
        <v>5</v>
      </c>
      <c r="H26" s="348"/>
      <c r="I26" s="59"/>
      <c r="J26" s="60"/>
      <c r="K26" s="45"/>
    </row>
    <row r="27" spans="2:11">
      <c r="B27" s="199" t="s">
        <v>23</v>
      </c>
      <c r="C27" s="200"/>
      <c r="D27" s="201"/>
      <c r="E27" s="49">
        <v>0</v>
      </c>
      <c r="F27" s="154"/>
      <c r="G27" s="22">
        <f>31705.87-11500-8500</f>
        <v>11705.869999999999</v>
      </c>
      <c r="H27" s="62" t="s">
        <v>9</v>
      </c>
      <c r="I27" s="59"/>
      <c r="J27" s="60"/>
      <c r="K27" s="45"/>
    </row>
    <row r="28" spans="2:11">
      <c r="B28" s="199" t="s">
        <v>22</v>
      </c>
      <c r="C28" s="200"/>
      <c r="D28" s="201"/>
      <c r="E28" s="49">
        <v>11733.2</v>
      </c>
      <c r="F28" s="154"/>
      <c r="G28" s="22">
        <v>993362.49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199" t="s">
        <v>24</v>
      </c>
      <c r="C29" s="200"/>
      <c r="D29" s="201"/>
      <c r="E29" s="49">
        <v>0</v>
      </c>
      <c r="F29" s="154"/>
      <c r="G29" s="67">
        <v>211508.41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25</v>
      </c>
      <c r="C30" s="345"/>
      <c r="D30" s="346"/>
      <c r="E30" s="49">
        <v>0</v>
      </c>
      <c r="F30" s="154"/>
      <c r="G30" s="71">
        <f>1074911.28-254025.53</f>
        <v>820885.75</v>
      </c>
      <c r="H30" s="72" t="s">
        <v>12</v>
      </c>
      <c r="I30" s="73"/>
      <c r="J30" s="74" t="s">
        <v>32</v>
      </c>
      <c r="K30" s="75" t="s">
        <v>33</v>
      </c>
    </row>
    <row r="31" spans="2:11" ht="15" thickBot="1">
      <c r="B31" s="363" t="s">
        <v>29</v>
      </c>
      <c r="C31" s="364"/>
      <c r="D31" s="365"/>
      <c r="E31" s="66">
        <v>0</v>
      </c>
      <c r="F31" s="154"/>
      <c r="G31" s="76"/>
      <c r="H31" s="76"/>
      <c r="I31" s="76"/>
      <c r="J31" s="76"/>
      <c r="K31" s="1"/>
    </row>
    <row r="37" spans="5:7">
      <c r="E37" s="181" t="s">
        <v>168</v>
      </c>
      <c r="F37" s="178"/>
      <c r="G37" s="8"/>
    </row>
    <row r="38" spans="5:7" s="61" customFormat="1" ht="15" customHeight="1">
      <c r="E38" s="181"/>
      <c r="F38" s="178"/>
      <c r="G38" s="86">
        <v>1659693.86</v>
      </c>
    </row>
    <row r="39" spans="5:7" s="61" customFormat="1" ht="15" customHeight="1">
      <c r="E39" s="8" t="s">
        <v>34</v>
      </c>
      <c r="F39" s="178">
        <f>F17</f>
        <v>433286.42999999993</v>
      </c>
      <c r="G39" s="86">
        <v>480000</v>
      </c>
    </row>
    <row r="40" spans="5:7" s="61" customFormat="1" ht="15" customHeight="1">
      <c r="E40" s="8" t="s">
        <v>35</v>
      </c>
      <c r="F40" s="213">
        <f>+E18</f>
        <v>2037462.52</v>
      </c>
      <c r="G40" s="86"/>
    </row>
    <row r="41" spans="5:7" s="61" customFormat="1" ht="15" customHeight="1">
      <c r="E41" s="8" t="s">
        <v>36</v>
      </c>
      <c r="F41" s="178">
        <v>0</v>
      </c>
      <c r="G41" s="88"/>
    </row>
    <row r="42" spans="5:7" s="61" customFormat="1" ht="15" customHeight="1">
      <c r="E42" s="8" t="s">
        <v>37</v>
      </c>
      <c r="F42" s="178">
        <v>0</v>
      </c>
      <c r="G42" s="13"/>
    </row>
    <row r="43" spans="5:7" s="61" customFormat="1" ht="15" customHeight="1">
      <c r="E43" s="182" t="s">
        <v>38</v>
      </c>
      <c r="F43" s="179">
        <f>SUM(F39:F42)</f>
        <v>2470748.9500000002</v>
      </c>
      <c r="G43" s="13"/>
    </row>
    <row r="44" spans="5:7" s="61" customFormat="1" ht="15" customHeight="1">
      <c r="E44" s="183"/>
      <c r="F44" s="174"/>
    </row>
    <row r="45" spans="5:7" s="61" customFormat="1" ht="15" customHeight="1">
      <c r="E45" s="114" t="s">
        <v>164</v>
      </c>
      <c r="F45" s="154">
        <v>95000</v>
      </c>
    </row>
    <row r="46" spans="5:7" s="61" customFormat="1" ht="15" customHeight="1">
      <c r="E46" s="113" t="s">
        <v>165</v>
      </c>
      <c r="F46" s="154">
        <v>1500000</v>
      </c>
    </row>
    <row r="47" spans="5:7" s="61" customFormat="1" ht="15" customHeight="1">
      <c r="E47" s="114" t="s">
        <v>166</v>
      </c>
      <c r="F47" s="154">
        <v>80000</v>
      </c>
    </row>
    <row r="48" spans="5:7" s="61" customFormat="1" ht="15" customHeight="1">
      <c r="E48" s="114" t="s">
        <v>167</v>
      </c>
      <c r="F48" s="154">
        <v>0</v>
      </c>
    </row>
    <row r="49" spans="5:6" s="61" customFormat="1" ht="15" customHeight="1">
      <c r="E49" s="114" t="s">
        <v>80</v>
      </c>
      <c r="F49" s="154">
        <v>1700000</v>
      </c>
    </row>
    <row r="50" spans="5:6" s="61" customFormat="1" ht="15" customHeight="1">
      <c r="E50" s="114" t="s">
        <v>64</v>
      </c>
      <c r="F50" s="154">
        <v>0</v>
      </c>
    </row>
    <row r="51" spans="5:6" s="61" customFormat="1" ht="15" customHeight="1">
      <c r="E51" s="116" t="s">
        <v>24</v>
      </c>
      <c r="F51" s="154">
        <v>0</v>
      </c>
    </row>
    <row r="52" spans="5:6" s="61" customFormat="1">
      <c r="E52" s="116" t="s">
        <v>39</v>
      </c>
      <c r="F52" s="154">
        <v>2000</v>
      </c>
    </row>
    <row r="53" spans="5:6" s="61" customFormat="1">
      <c r="E53" s="116" t="s">
        <v>22</v>
      </c>
      <c r="F53" s="154">
        <v>50000</v>
      </c>
    </row>
    <row r="54" spans="5:6" s="61" customFormat="1">
      <c r="E54" s="116" t="s">
        <v>69</v>
      </c>
      <c r="F54" s="154">
        <v>60000</v>
      </c>
    </row>
    <row r="55" spans="5:6" s="61" customFormat="1">
      <c r="E55" s="116" t="s">
        <v>40</v>
      </c>
      <c r="F55" s="154">
        <f>195000-90000</f>
        <v>105000</v>
      </c>
    </row>
    <row r="56" spans="5:6" s="61" customFormat="1">
      <c r="E56" s="118" t="s">
        <v>41</v>
      </c>
      <c r="F56" s="119">
        <f>SUM(F45:F55)</f>
        <v>3592000</v>
      </c>
    </row>
    <row r="57" spans="5:6" s="61" customFormat="1">
      <c r="E57" s="118" t="s">
        <v>42</v>
      </c>
      <c r="F57" s="119">
        <f>F43-F56</f>
        <v>-1121251.0499999998</v>
      </c>
    </row>
    <row r="58" spans="5:6" s="61" customFormat="1">
      <c r="E58" s="82"/>
      <c r="F58" s="80"/>
    </row>
    <row r="59" spans="5:6" s="61" customFormat="1">
      <c r="E59" s="82" t="s">
        <v>43</v>
      </c>
      <c r="F59" s="80">
        <f>43800+180000</f>
        <v>223800</v>
      </c>
    </row>
    <row r="60" spans="5:6" s="61" customFormat="1">
      <c r="E60" s="82" t="s">
        <v>44</v>
      </c>
      <c r="F60" s="80">
        <f>100000+350000-20000-40000</f>
        <v>390000</v>
      </c>
    </row>
    <row r="61" spans="5:6" s="61" customFormat="1">
      <c r="E61" s="82" t="s">
        <v>91</v>
      </c>
      <c r="F61" s="117">
        <v>0</v>
      </c>
    </row>
    <row r="62" spans="5:6" s="61" customFormat="1">
      <c r="E62" s="118" t="s">
        <v>46</v>
      </c>
      <c r="F62" s="120">
        <f>SUM(F59:F61)</f>
        <v>613800</v>
      </c>
    </row>
    <row r="63" spans="5:6" s="61" customFormat="1">
      <c r="E63" s="82"/>
      <c r="F63" s="80"/>
    </row>
    <row r="64" spans="5:6">
      <c r="E64" s="118" t="s">
        <v>47</v>
      </c>
      <c r="F64" s="120">
        <f>F57-F62</f>
        <v>-1735051.0499999998</v>
      </c>
    </row>
  </sheetData>
  <mergeCells count="16">
    <mergeCell ref="G26:H26"/>
    <mergeCell ref="B30:D30"/>
    <mergeCell ref="B31:D31"/>
    <mergeCell ref="B16:D16"/>
    <mergeCell ref="B17:D17"/>
    <mergeCell ref="B18:D18"/>
    <mergeCell ref="B19:D19"/>
    <mergeCell ref="G20:H20"/>
    <mergeCell ref="G24:K24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87370-1B9A-4223-B1FF-AD6DC69BEC1F}">
  <dimension ref="B6:P64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209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76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76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76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76"/>
      <c r="K11" s="1"/>
    </row>
    <row r="12" spans="2:11" ht="18" thickBot="1">
      <c r="B12" s="331" t="s">
        <v>2</v>
      </c>
      <c r="C12" s="332"/>
      <c r="D12" s="332"/>
      <c r="E12" s="333"/>
      <c r="F12" s="186"/>
      <c r="G12" s="1"/>
      <c r="H12" s="1"/>
      <c r="I12" s="1"/>
      <c r="J12" s="76"/>
      <c r="K12" s="1"/>
    </row>
    <row r="13" spans="2:11" ht="18" thickBot="1">
      <c r="B13" s="1"/>
      <c r="C13" s="1"/>
      <c r="D13" s="1"/>
      <c r="E13" s="1"/>
      <c r="F13" s="148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709318.45</v>
      </c>
      <c r="F14" s="148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330474.24999999994</v>
      </c>
      <c r="F15" s="153">
        <f>E15+E16+E17</f>
        <v>709318.45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35452.39</v>
      </c>
      <c r="F16" s="153">
        <v>90000</v>
      </c>
      <c r="G16" s="22">
        <v>28821.59</v>
      </c>
      <c r="H16" s="23" t="s">
        <v>8</v>
      </c>
      <c r="I16" s="24"/>
      <c r="J16" s="25">
        <v>141086.56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343391.81</v>
      </c>
      <c r="F17" s="153">
        <f>F15-F16</f>
        <v>619318.44999999995</v>
      </c>
      <c r="G17" s="22">
        <v>273105.74</v>
      </c>
      <c r="H17" s="29" t="s">
        <v>10</v>
      </c>
      <c r="I17" s="30"/>
      <c r="J17" s="25">
        <v>74668.649999999994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2037942.24</v>
      </c>
      <c r="F18" s="153"/>
      <c r="G18" s="22">
        <v>41464.480000000003</v>
      </c>
      <c r="H18" s="29" t="s">
        <v>12</v>
      </c>
      <c r="I18" s="30"/>
      <c r="J18" s="25">
        <v>100205.38</v>
      </c>
      <c r="K18" s="31" t="s">
        <v>12</v>
      </c>
    </row>
    <row r="19" spans="2:11">
      <c r="B19" s="344" t="s">
        <v>13</v>
      </c>
      <c r="C19" s="345"/>
      <c r="D19" s="346"/>
      <c r="E19" s="20">
        <v>18460565.370000001</v>
      </c>
      <c r="F19" s="153"/>
      <c r="G19" s="33"/>
      <c r="H19" s="34"/>
      <c r="I19" s="30"/>
      <c r="J19" s="25">
        <v>14513.66</v>
      </c>
      <c r="K19" s="31" t="s">
        <v>14</v>
      </c>
    </row>
    <row r="20" spans="2:11">
      <c r="B20" s="187" t="s">
        <v>15</v>
      </c>
      <c r="C20" s="188"/>
      <c r="D20" s="189"/>
      <c r="E20" s="190">
        <f>SUM(E21:E23)</f>
        <v>271358.8</v>
      </c>
      <c r="F20" s="153"/>
      <c r="G20" s="361" t="s">
        <v>16</v>
      </c>
      <c r="H20" s="362"/>
      <c r="I20" s="36"/>
      <c r="J20" s="37"/>
      <c r="K20" s="38"/>
    </row>
    <row r="21" spans="2:11">
      <c r="B21" s="187"/>
      <c r="C21" s="188"/>
      <c r="D21" s="198" t="s">
        <v>169</v>
      </c>
      <c r="E21" s="190">
        <v>253958.8</v>
      </c>
      <c r="F21" s="158">
        <f>SUM(E24:E31)</f>
        <v>1608994.6</v>
      </c>
      <c r="G21" s="44">
        <v>14244.88</v>
      </c>
      <c r="H21" s="29" t="s">
        <v>10</v>
      </c>
      <c r="I21" s="30"/>
      <c r="J21" s="37"/>
      <c r="K21" s="45"/>
    </row>
    <row r="22" spans="2:11">
      <c r="B22" s="187"/>
      <c r="C22" s="188"/>
      <c r="D22" s="198" t="s">
        <v>122</v>
      </c>
      <c r="E22" s="190">
        <v>17400</v>
      </c>
      <c r="F22" s="148">
        <f>+F17-F21</f>
        <v>-989676.15000000014</v>
      </c>
      <c r="G22" s="44">
        <v>21207.51</v>
      </c>
      <c r="H22" s="29" t="s">
        <v>18</v>
      </c>
      <c r="I22" s="30"/>
      <c r="J22" s="50"/>
      <c r="K22" s="38"/>
    </row>
    <row r="23" spans="2:11" ht="15" thickBot="1">
      <c r="B23" s="187"/>
      <c r="C23" s="188"/>
      <c r="D23" s="198"/>
      <c r="E23" s="190">
        <v>0</v>
      </c>
      <c r="F23" s="148"/>
      <c r="G23" s="51"/>
      <c r="H23" s="34"/>
      <c r="I23" s="30"/>
      <c r="J23" s="210"/>
      <c r="K23" s="53"/>
    </row>
    <row r="24" spans="2:11" ht="15" thickBot="1">
      <c r="B24" s="46" t="s">
        <v>17</v>
      </c>
      <c r="C24" s="47"/>
      <c r="D24" s="48"/>
      <c r="E24" s="49">
        <v>5600</v>
      </c>
      <c r="F24" s="148"/>
      <c r="G24" s="331" t="s">
        <v>21</v>
      </c>
      <c r="H24" s="332"/>
      <c r="I24" s="332"/>
      <c r="J24" s="332"/>
      <c r="K24" s="333"/>
    </row>
    <row r="25" spans="2:11">
      <c r="B25" s="202" t="s">
        <v>163</v>
      </c>
      <c r="C25" s="203"/>
      <c r="D25" s="204"/>
      <c r="E25" s="49">
        <v>1500000</v>
      </c>
      <c r="F25" s="80"/>
      <c r="G25" s="54"/>
      <c r="H25" s="55"/>
      <c r="I25" s="56"/>
      <c r="J25" s="211"/>
      <c r="K25" s="58"/>
    </row>
    <row r="26" spans="2:11">
      <c r="B26" s="199" t="s">
        <v>23</v>
      </c>
      <c r="C26" s="200"/>
      <c r="D26" s="201"/>
      <c r="E26" s="49">
        <v>85000</v>
      </c>
      <c r="F26" s="154"/>
      <c r="G26" s="347" t="s">
        <v>5</v>
      </c>
      <c r="H26" s="348"/>
      <c r="I26" s="59"/>
      <c r="J26" s="60"/>
      <c r="K26" s="45"/>
    </row>
    <row r="27" spans="2:11">
      <c r="B27" s="199" t="s">
        <v>170</v>
      </c>
      <c r="C27" s="200"/>
      <c r="D27" s="201"/>
      <c r="E27" s="49">
        <v>0</v>
      </c>
      <c r="F27" s="154"/>
      <c r="G27" s="22">
        <f>31709.56-11500-8500</f>
        <v>11709.560000000001</v>
      </c>
      <c r="H27" s="62" t="s">
        <v>9</v>
      </c>
      <c r="I27" s="59"/>
      <c r="J27" s="60"/>
      <c r="K27" s="45"/>
    </row>
    <row r="28" spans="2:11">
      <c r="B28" s="199" t="s">
        <v>22</v>
      </c>
      <c r="C28" s="200"/>
      <c r="D28" s="201"/>
      <c r="E28" s="49">
        <v>18394.599999999999</v>
      </c>
      <c r="F28" s="154"/>
      <c r="G28" s="22">
        <v>993515.86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199" t="s">
        <v>24</v>
      </c>
      <c r="C29" s="200"/>
      <c r="D29" s="201"/>
      <c r="E29" s="49">
        <v>0</v>
      </c>
      <c r="F29" s="154"/>
      <c r="G29" s="67">
        <v>211528.32000000001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25</v>
      </c>
      <c r="C30" s="345"/>
      <c r="D30" s="346"/>
      <c r="E30" s="49">
        <v>0</v>
      </c>
      <c r="F30" s="154"/>
      <c r="G30" s="71">
        <f>1075214.03-254025.53</f>
        <v>821188.5</v>
      </c>
      <c r="H30" s="72" t="s">
        <v>12</v>
      </c>
      <c r="I30" s="73"/>
      <c r="J30" s="74" t="s">
        <v>32</v>
      </c>
      <c r="K30" s="75" t="s">
        <v>33</v>
      </c>
    </row>
    <row r="31" spans="2:11" ht="15" thickBot="1">
      <c r="B31" s="363" t="s">
        <v>29</v>
      </c>
      <c r="C31" s="364"/>
      <c r="D31" s="365"/>
      <c r="E31" s="66">
        <v>0</v>
      </c>
      <c r="F31" s="154"/>
      <c r="G31" s="76"/>
      <c r="H31" s="76"/>
      <c r="I31" s="76"/>
      <c r="J31" s="76"/>
      <c r="K31" s="1"/>
    </row>
    <row r="37" spans="5:7">
      <c r="E37" s="181" t="s">
        <v>168</v>
      </c>
      <c r="F37" s="178"/>
      <c r="G37" s="8"/>
    </row>
    <row r="38" spans="5:7" s="61" customFormat="1" ht="15" customHeight="1">
      <c r="E38" s="181"/>
      <c r="F38" s="178"/>
      <c r="G38" s="86">
        <v>1659693.86</v>
      </c>
    </row>
    <row r="39" spans="5:7" s="61" customFormat="1" ht="15" customHeight="1">
      <c r="E39" s="8" t="s">
        <v>34</v>
      </c>
      <c r="F39" s="178">
        <f>F17</f>
        <v>619318.44999999995</v>
      </c>
      <c r="G39" s="86">
        <v>480000</v>
      </c>
    </row>
    <row r="40" spans="5:7" s="61" customFormat="1" ht="15" customHeight="1">
      <c r="E40" s="8" t="s">
        <v>35</v>
      </c>
      <c r="F40" s="213">
        <f>+E18</f>
        <v>2037942.24</v>
      </c>
      <c r="G40" s="86"/>
    </row>
    <row r="41" spans="5:7" s="61" customFormat="1" ht="15" customHeight="1">
      <c r="E41" s="8" t="s">
        <v>36</v>
      </c>
      <c r="F41" s="178">
        <v>0</v>
      </c>
      <c r="G41" s="88"/>
    </row>
    <row r="42" spans="5:7" s="61" customFormat="1" ht="15" customHeight="1">
      <c r="E42" s="8" t="s">
        <v>37</v>
      </c>
      <c r="F42" s="178">
        <v>0</v>
      </c>
      <c r="G42" s="13"/>
    </row>
    <row r="43" spans="5:7" s="61" customFormat="1" ht="15" customHeight="1">
      <c r="E43" s="182" t="s">
        <v>38</v>
      </c>
      <c r="F43" s="179">
        <f>SUM(F39:F42)</f>
        <v>2657260.69</v>
      </c>
      <c r="G43" s="13"/>
    </row>
    <row r="44" spans="5:7" s="61" customFormat="1" ht="15" customHeight="1">
      <c r="E44" s="183"/>
      <c r="F44" s="174"/>
    </row>
    <row r="45" spans="5:7" s="61" customFormat="1" ht="15" customHeight="1">
      <c r="E45" s="114" t="s">
        <v>164</v>
      </c>
      <c r="F45" s="154">
        <v>95000</v>
      </c>
    </row>
    <row r="46" spans="5:7" s="61" customFormat="1" ht="15" customHeight="1">
      <c r="E46" s="113" t="s">
        <v>165</v>
      </c>
      <c r="F46" s="154">
        <v>1500000</v>
      </c>
    </row>
    <row r="47" spans="5:7" s="61" customFormat="1" ht="15" customHeight="1">
      <c r="E47" s="114" t="s">
        <v>166</v>
      </c>
      <c r="F47" s="154">
        <v>80000</v>
      </c>
    </row>
    <row r="48" spans="5:7" s="61" customFormat="1" ht="15" customHeight="1">
      <c r="E48" s="114" t="s">
        <v>167</v>
      </c>
      <c r="F48" s="154">
        <v>0</v>
      </c>
    </row>
    <row r="49" spans="5:6" s="61" customFormat="1" ht="15" customHeight="1">
      <c r="E49" s="114" t="s">
        <v>80</v>
      </c>
      <c r="F49" s="154">
        <v>1700000</v>
      </c>
    </row>
    <row r="50" spans="5:6" s="61" customFormat="1" ht="15" customHeight="1">
      <c r="E50" s="114" t="s">
        <v>64</v>
      </c>
      <c r="F50" s="154">
        <v>0</v>
      </c>
    </row>
    <row r="51" spans="5:6" s="61" customFormat="1" ht="15" customHeight="1">
      <c r="E51" s="116" t="s">
        <v>24</v>
      </c>
      <c r="F51" s="154">
        <v>0</v>
      </c>
    </row>
    <row r="52" spans="5:6" s="61" customFormat="1">
      <c r="E52" s="116" t="s">
        <v>39</v>
      </c>
      <c r="F52" s="154">
        <v>2000</v>
      </c>
    </row>
    <row r="53" spans="5:6" s="61" customFormat="1">
      <c r="E53" s="116" t="s">
        <v>22</v>
      </c>
      <c r="F53" s="154">
        <v>50000</v>
      </c>
    </row>
    <row r="54" spans="5:6" s="61" customFormat="1">
      <c r="E54" s="116" t="s">
        <v>69</v>
      </c>
      <c r="F54" s="154">
        <v>60000</v>
      </c>
    </row>
    <row r="55" spans="5:6" s="61" customFormat="1">
      <c r="E55" s="116" t="s">
        <v>40</v>
      </c>
      <c r="F55" s="154">
        <f>195000-90000-45000</f>
        <v>60000</v>
      </c>
    </row>
    <row r="56" spans="5:6" s="61" customFormat="1">
      <c r="E56" s="118" t="s">
        <v>41</v>
      </c>
      <c r="F56" s="119">
        <f>SUM(F45:F55)</f>
        <v>3547000</v>
      </c>
    </row>
    <row r="57" spans="5:6" s="61" customFormat="1">
      <c r="E57" s="118" t="s">
        <v>42</v>
      </c>
      <c r="F57" s="119">
        <f>F43-F56</f>
        <v>-889739.31</v>
      </c>
    </row>
    <row r="58" spans="5:6" s="61" customFormat="1">
      <c r="E58" s="82"/>
      <c r="F58" s="80"/>
    </row>
    <row r="59" spans="5:6" s="61" customFormat="1">
      <c r="E59" s="82" t="s">
        <v>43</v>
      </c>
      <c r="F59" s="80">
        <f>43800+180000</f>
        <v>223800</v>
      </c>
    </row>
    <row r="60" spans="5:6" s="61" customFormat="1">
      <c r="E60" s="82" t="s">
        <v>44</v>
      </c>
      <c r="F60" s="80">
        <f>100000+350000-20000-40000</f>
        <v>390000</v>
      </c>
    </row>
    <row r="61" spans="5:6" s="61" customFormat="1">
      <c r="E61" s="82" t="s">
        <v>91</v>
      </c>
      <c r="F61" s="117">
        <v>0</v>
      </c>
    </row>
    <row r="62" spans="5:6" s="61" customFormat="1">
      <c r="E62" s="118" t="s">
        <v>46</v>
      </c>
      <c r="F62" s="120">
        <f>SUM(F59:F61)</f>
        <v>613800</v>
      </c>
    </row>
    <row r="63" spans="5:6" s="61" customFormat="1">
      <c r="E63" s="82"/>
      <c r="F63" s="80"/>
    </row>
    <row r="64" spans="5:6">
      <c r="E64" s="118" t="s">
        <v>47</v>
      </c>
      <c r="F64" s="120">
        <f>F57-F62</f>
        <v>-1503539.31</v>
      </c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6:H26"/>
    <mergeCell ref="B30:D30"/>
    <mergeCell ref="B31:D31"/>
    <mergeCell ref="B16:D16"/>
    <mergeCell ref="B17:D17"/>
    <mergeCell ref="B18:D18"/>
    <mergeCell ref="B19:D19"/>
    <mergeCell ref="G20:H20"/>
    <mergeCell ref="G24:K24"/>
  </mergeCells>
  <pageMargins left="0.7" right="0.7" top="0.75" bottom="0.75" header="0.3" footer="0.3"/>
  <drawing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D3422-4C11-4260-8B80-161F6C163976}">
  <dimension ref="B6:P64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209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76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76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76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76"/>
      <c r="K11" s="1"/>
    </row>
    <row r="12" spans="2:11" ht="18" thickBot="1">
      <c r="B12" s="331" t="s">
        <v>2</v>
      </c>
      <c r="C12" s="332"/>
      <c r="D12" s="332"/>
      <c r="E12" s="333"/>
      <c r="F12" s="186"/>
      <c r="G12" s="1"/>
      <c r="H12" s="1"/>
      <c r="I12" s="1"/>
      <c r="J12" s="76"/>
      <c r="K12" s="1"/>
    </row>
    <row r="13" spans="2:11" ht="18" thickBot="1">
      <c r="B13" s="1"/>
      <c r="C13" s="1"/>
      <c r="D13" s="1"/>
      <c r="E13" s="1"/>
      <c r="F13" s="148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221610.31999999998</v>
      </c>
      <c r="F14" s="148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98688.319999999992</v>
      </c>
      <c r="F15" s="153">
        <f>E15+E16+E17</f>
        <v>221610.31999999998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33907.589999999997</v>
      </c>
      <c r="F16" s="153">
        <v>90000</v>
      </c>
      <c r="G16" s="22">
        <v>28821.59</v>
      </c>
      <c r="H16" s="23" t="s">
        <v>8</v>
      </c>
      <c r="I16" s="24"/>
      <c r="J16" s="25">
        <v>36461.360000000001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89014.41</v>
      </c>
      <c r="F17" s="153">
        <f>F15-F16</f>
        <v>131610.31999999998</v>
      </c>
      <c r="G17" s="22">
        <v>30696.74</v>
      </c>
      <c r="H17" s="29" t="s">
        <v>10</v>
      </c>
      <c r="I17" s="30"/>
      <c r="J17" s="25">
        <v>25492.25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1203201.9000000001</v>
      </c>
      <c r="F18" s="153"/>
      <c r="G18" s="22">
        <v>29496.080000000002</v>
      </c>
      <c r="H18" s="29" t="s">
        <v>12</v>
      </c>
      <c r="I18" s="30"/>
      <c r="J18" s="25">
        <v>25906.45</v>
      </c>
      <c r="K18" s="31" t="s">
        <v>12</v>
      </c>
    </row>
    <row r="19" spans="2:11">
      <c r="B19" s="344" t="s">
        <v>13</v>
      </c>
      <c r="C19" s="345"/>
      <c r="D19" s="346"/>
      <c r="E19" s="20">
        <v>18468824.57</v>
      </c>
      <c r="F19" s="153"/>
      <c r="G19" s="33"/>
      <c r="H19" s="34"/>
      <c r="I19" s="30"/>
      <c r="J19" s="25">
        <v>10828.26</v>
      </c>
      <c r="K19" s="31" t="s">
        <v>14</v>
      </c>
    </row>
    <row r="20" spans="2:11">
      <c r="B20" s="187" t="s">
        <v>15</v>
      </c>
      <c r="C20" s="188"/>
      <c r="D20" s="189"/>
      <c r="E20" s="190">
        <f>SUM(E21:E23)</f>
        <v>0</v>
      </c>
      <c r="F20" s="153"/>
      <c r="G20" s="361" t="s">
        <v>16</v>
      </c>
      <c r="H20" s="362"/>
      <c r="I20" s="36"/>
      <c r="J20" s="37"/>
      <c r="K20" s="38"/>
    </row>
    <row r="21" spans="2:11">
      <c r="B21" s="187"/>
      <c r="C21" s="188"/>
      <c r="D21" s="198"/>
      <c r="E21" s="190">
        <v>0</v>
      </c>
      <c r="F21" s="158">
        <f>SUM(E24:E31)</f>
        <v>195757.56</v>
      </c>
      <c r="G21" s="44">
        <v>12700.08</v>
      </c>
      <c r="H21" s="29" t="s">
        <v>10</v>
      </c>
      <c r="I21" s="30"/>
      <c r="J21" s="37"/>
      <c r="K21" s="45"/>
    </row>
    <row r="22" spans="2:11">
      <c r="B22" s="187"/>
      <c r="C22" s="188"/>
      <c r="D22" s="198"/>
      <c r="E22" s="190">
        <v>0</v>
      </c>
      <c r="F22" s="148">
        <f>+F17-F21</f>
        <v>-64147.24000000002</v>
      </c>
      <c r="G22" s="44">
        <v>21207.51</v>
      </c>
      <c r="H22" s="29" t="s">
        <v>18</v>
      </c>
      <c r="I22" s="30"/>
      <c r="J22" s="50"/>
      <c r="K22" s="38"/>
    </row>
    <row r="23" spans="2:11" ht="15" thickBot="1">
      <c r="B23" s="187"/>
      <c r="C23" s="188"/>
      <c r="D23" s="198"/>
      <c r="E23" s="190">
        <v>0</v>
      </c>
      <c r="F23" s="148"/>
      <c r="G23" s="51"/>
      <c r="H23" s="34"/>
      <c r="I23" s="30"/>
      <c r="J23" s="210"/>
      <c r="K23" s="53"/>
    </row>
    <row r="24" spans="2:11" ht="15" thickBot="1">
      <c r="B24" s="46" t="s">
        <v>17</v>
      </c>
      <c r="C24" s="47"/>
      <c r="D24" s="48"/>
      <c r="E24" s="49">
        <v>40500.76</v>
      </c>
      <c r="F24" s="148"/>
      <c r="G24" s="331" t="s">
        <v>21</v>
      </c>
      <c r="H24" s="332"/>
      <c r="I24" s="332"/>
      <c r="J24" s="332"/>
      <c r="K24" s="333"/>
    </row>
    <row r="25" spans="2:11">
      <c r="B25" s="202" t="s">
        <v>163</v>
      </c>
      <c r="C25" s="203"/>
      <c r="D25" s="204"/>
      <c r="E25" s="49">
        <v>0</v>
      </c>
      <c r="F25" s="80"/>
      <c r="G25" s="54"/>
      <c r="H25" s="55"/>
      <c r="I25" s="56"/>
      <c r="J25" s="211"/>
      <c r="K25" s="58"/>
    </row>
    <row r="26" spans="2:11">
      <c r="B26" s="199" t="s">
        <v>23</v>
      </c>
      <c r="C26" s="200"/>
      <c r="D26" s="201"/>
      <c r="E26" s="49">
        <v>0</v>
      </c>
      <c r="F26" s="154"/>
      <c r="G26" s="347" t="s">
        <v>5</v>
      </c>
      <c r="H26" s="348"/>
      <c r="I26" s="59"/>
      <c r="J26" s="60"/>
      <c r="K26" s="45"/>
    </row>
    <row r="27" spans="2:11">
      <c r="B27" s="199" t="s">
        <v>170</v>
      </c>
      <c r="C27" s="200"/>
      <c r="D27" s="201"/>
      <c r="E27" s="49">
        <v>90000</v>
      </c>
      <c r="F27" s="154"/>
      <c r="G27" s="22">
        <f>31713.26-11500-8500</f>
        <v>11713.259999999998</v>
      </c>
      <c r="H27" s="62" t="s">
        <v>9</v>
      </c>
      <c r="I27" s="59"/>
      <c r="J27" s="60"/>
      <c r="K27" s="45"/>
    </row>
    <row r="28" spans="2:11">
      <c r="B28" s="199" t="s">
        <v>22</v>
      </c>
      <c r="C28" s="200"/>
      <c r="D28" s="201"/>
      <c r="E28" s="49">
        <v>5256.8</v>
      </c>
      <c r="F28" s="154"/>
      <c r="G28" s="22">
        <v>993671.99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199" t="s">
        <v>24</v>
      </c>
      <c r="C29" s="200"/>
      <c r="D29" s="201"/>
      <c r="E29" s="49">
        <v>0</v>
      </c>
      <c r="F29" s="154"/>
      <c r="G29" s="67">
        <v>126540.53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25</v>
      </c>
      <c r="C30" s="345"/>
      <c r="D30" s="346"/>
      <c r="E30" s="49">
        <v>60000</v>
      </c>
      <c r="F30" s="154"/>
      <c r="G30" s="71">
        <f>325301.65-254025.53</f>
        <v>71276.120000000024</v>
      </c>
      <c r="H30" s="72" t="s">
        <v>12</v>
      </c>
      <c r="I30" s="73"/>
      <c r="J30" s="74" t="s">
        <v>32</v>
      </c>
      <c r="K30" s="75" t="s">
        <v>33</v>
      </c>
    </row>
    <row r="31" spans="2:11" ht="15" thickBot="1">
      <c r="B31" s="363" t="s">
        <v>29</v>
      </c>
      <c r="C31" s="364"/>
      <c r="D31" s="365"/>
      <c r="E31" s="66">
        <v>0</v>
      </c>
      <c r="F31" s="154"/>
      <c r="G31" s="76"/>
      <c r="H31" s="76"/>
      <c r="I31" s="76"/>
      <c r="J31" s="76"/>
      <c r="K31" s="1"/>
    </row>
    <row r="37" spans="5:7">
      <c r="E37" s="161" t="s">
        <v>168</v>
      </c>
      <c r="F37" s="162"/>
      <c r="G37" s="8"/>
    </row>
    <row r="38" spans="5:7" s="61" customFormat="1" ht="15" customHeight="1">
      <c r="E38" s="161"/>
      <c r="F38" s="162"/>
      <c r="G38" s="86">
        <v>1659693.86</v>
      </c>
    </row>
    <row r="39" spans="5:7" s="61" customFormat="1" ht="15" customHeight="1">
      <c r="E39" s="61" t="s">
        <v>34</v>
      </c>
      <c r="F39" s="162">
        <f>F17</f>
        <v>131610.31999999998</v>
      </c>
      <c r="G39" s="86">
        <v>480000</v>
      </c>
    </row>
    <row r="40" spans="5:7" s="61" customFormat="1" ht="15" customHeight="1">
      <c r="E40" s="61" t="s">
        <v>35</v>
      </c>
      <c r="F40" s="214">
        <f>+E18</f>
        <v>1203201.9000000001</v>
      </c>
      <c r="G40" s="86"/>
    </row>
    <row r="41" spans="5:7" s="61" customFormat="1" ht="15" customHeight="1">
      <c r="E41" s="61" t="s">
        <v>36</v>
      </c>
      <c r="F41" s="162">
        <v>495000</v>
      </c>
      <c r="G41" s="88"/>
    </row>
    <row r="42" spans="5:7" s="61" customFormat="1" ht="15" customHeight="1">
      <c r="E42" s="61" t="s">
        <v>37</v>
      </c>
      <c r="F42" s="162">
        <v>0</v>
      </c>
      <c r="G42" s="13"/>
    </row>
    <row r="43" spans="5:7" s="61" customFormat="1" ht="15" customHeight="1">
      <c r="E43" s="163" t="s">
        <v>38</v>
      </c>
      <c r="F43" s="164">
        <f>SUM(F39:F42)</f>
        <v>1829812.2200000002</v>
      </c>
      <c r="G43" s="13"/>
    </row>
    <row r="44" spans="5:7" s="61" customFormat="1" ht="15" customHeight="1">
      <c r="E44" s="165"/>
      <c r="F44" s="166"/>
    </row>
    <row r="45" spans="5:7" s="61" customFormat="1" ht="15" customHeight="1">
      <c r="E45" s="89" t="s">
        <v>164</v>
      </c>
      <c r="F45" s="39">
        <v>95000</v>
      </c>
    </row>
    <row r="46" spans="5:7" s="61" customFormat="1" ht="15" customHeight="1">
      <c r="E46" s="87" t="s">
        <v>165</v>
      </c>
      <c r="F46" s="39">
        <v>0</v>
      </c>
    </row>
    <row r="47" spans="5:7" s="61" customFormat="1" ht="15" customHeight="1">
      <c r="E47" s="89" t="s">
        <v>166</v>
      </c>
      <c r="F47" s="39">
        <v>0</v>
      </c>
    </row>
    <row r="48" spans="5:7" s="61" customFormat="1" ht="15" customHeight="1">
      <c r="E48" s="89" t="s">
        <v>167</v>
      </c>
      <c r="F48" s="39">
        <v>0</v>
      </c>
    </row>
    <row r="49" spans="5:6" s="61" customFormat="1" ht="15" customHeight="1">
      <c r="E49" s="89" t="s">
        <v>80</v>
      </c>
      <c r="F49" s="39">
        <v>1700000</v>
      </c>
    </row>
    <row r="50" spans="5:6" s="61" customFormat="1" ht="15" customHeight="1">
      <c r="E50" s="89" t="s">
        <v>64</v>
      </c>
      <c r="F50" s="39">
        <v>0</v>
      </c>
    </row>
    <row r="51" spans="5:6" s="61" customFormat="1" ht="15" customHeight="1">
      <c r="E51" s="91" t="s">
        <v>24</v>
      </c>
      <c r="F51" s="39">
        <v>0</v>
      </c>
    </row>
    <row r="52" spans="5:6" s="61" customFormat="1">
      <c r="E52" s="91" t="s">
        <v>39</v>
      </c>
      <c r="F52" s="39">
        <v>2000</v>
      </c>
    </row>
    <row r="53" spans="5:6" s="61" customFormat="1">
      <c r="E53" s="91" t="s">
        <v>22</v>
      </c>
      <c r="F53" s="39">
        <v>6000</v>
      </c>
    </row>
    <row r="54" spans="5:6" s="61" customFormat="1">
      <c r="E54" s="91" t="s">
        <v>69</v>
      </c>
      <c r="F54" s="39">
        <v>60000</v>
      </c>
    </row>
    <row r="55" spans="5:6" s="61" customFormat="1">
      <c r="E55" s="91" t="s">
        <v>40</v>
      </c>
      <c r="F55" s="39">
        <v>40500</v>
      </c>
    </row>
    <row r="56" spans="5:6" s="61" customFormat="1">
      <c r="E56" s="96" t="s">
        <v>41</v>
      </c>
      <c r="F56" s="97">
        <f>SUM(F45:F55)</f>
        <v>1903500</v>
      </c>
    </row>
    <row r="57" spans="5:6" s="61" customFormat="1">
      <c r="E57" s="96" t="s">
        <v>42</v>
      </c>
      <c r="F57" s="97">
        <f>F43-F56</f>
        <v>-73687.779999999795</v>
      </c>
    </row>
    <row r="58" spans="5:6" s="61" customFormat="1">
      <c r="E58" s="83"/>
      <c r="F58" s="151"/>
    </row>
    <row r="59" spans="5:6" s="61" customFormat="1">
      <c r="E59" s="83" t="s">
        <v>43</v>
      </c>
      <c r="F59" s="151">
        <f>43800+180000</f>
        <v>223800</v>
      </c>
    </row>
    <row r="60" spans="5:6" s="61" customFormat="1">
      <c r="E60" s="83" t="s">
        <v>44</v>
      </c>
      <c r="F60" s="151">
        <f>100000+350000-20000-40000</f>
        <v>390000</v>
      </c>
    </row>
    <row r="61" spans="5:6" s="61" customFormat="1">
      <c r="E61" s="83" t="s">
        <v>91</v>
      </c>
      <c r="F61" s="95">
        <v>0</v>
      </c>
    </row>
    <row r="62" spans="5:6" s="61" customFormat="1">
      <c r="E62" s="96" t="s">
        <v>46</v>
      </c>
      <c r="F62" s="99">
        <f>SUM(F59:F61)</f>
        <v>613800</v>
      </c>
    </row>
    <row r="63" spans="5:6" s="61" customFormat="1">
      <c r="E63" s="83"/>
      <c r="F63" s="151"/>
    </row>
    <row r="64" spans="5:6">
      <c r="E64" s="96" t="s">
        <v>47</v>
      </c>
      <c r="F64" s="99">
        <f>F57-F62</f>
        <v>-687487.7799999998</v>
      </c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6:H26"/>
    <mergeCell ref="B30:D30"/>
    <mergeCell ref="B31:D31"/>
    <mergeCell ref="B16:D16"/>
    <mergeCell ref="B17:D17"/>
    <mergeCell ref="B18:D18"/>
    <mergeCell ref="B19:D19"/>
    <mergeCell ref="G20:H20"/>
    <mergeCell ref="G24:K24"/>
  </mergeCells>
  <pageMargins left="0.7" right="0.7" top="0.75" bottom="0.75" header="0.3" footer="0.3"/>
  <drawing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5C87A-8198-4554-8CD4-4E28F9B02CBA}">
  <dimension ref="B6:P61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209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76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76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76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76"/>
      <c r="K11" s="1"/>
    </row>
    <row r="12" spans="2:11" ht="18" thickBot="1">
      <c r="B12" s="331" t="s">
        <v>2</v>
      </c>
      <c r="C12" s="332"/>
      <c r="D12" s="332"/>
      <c r="E12" s="333"/>
      <c r="F12" s="186"/>
      <c r="G12" s="1"/>
      <c r="H12" s="1"/>
      <c r="I12" s="1"/>
      <c r="J12" s="76"/>
      <c r="K12" s="1"/>
    </row>
    <row r="13" spans="2:11" ht="18" thickBot="1">
      <c r="B13" s="1"/>
      <c r="C13" s="1"/>
      <c r="D13" s="1"/>
      <c r="E13" s="1"/>
      <c r="F13" s="149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1032050.6</v>
      </c>
      <c r="F14" s="148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947116.77</v>
      </c>
      <c r="F15" s="153">
        <f>E15+E16+E17</f>
        <v>1032050.6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21499.989999999998</v>
      </c>
      <c r="F16" s="153">
        <v>90000</v>
      </c>
      <c r="G16" s="22">
        <v>28502.59</v>
      </c>
      <c r="H16" s="23" t="s">
        <v>8</v>
      </c>
      <c r="I16" s="24"/>
      <c r="J16" s="25">
        <v>36461.360000000001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63433.84</v>
      </c>
      <c r="F17" s="153">
        <f>F15-F16</f>
        <v>942050.6</v>
      </c>
      <c r="G17" s="22">
        <v>15396.05</v>
      </c>
      <c r="H17" s="29" t="s">
        <v>10</v>
      </c>
      <c r="I17" s="30"/>
      <c r="J17" s="25">
        <v>11602.05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1084151.24</v>
      </c>
      <c r="F18" s="153"/>
      <c r="G18" s="22">
        <v>19535.2</v>
      </c>
      <c r="H18" s="29" t="s">
        <v>12</v>
      </c>
      <c r="I18" s="30"/>
      <c r="J18" s="25">
        <v>851300.17</v>
      </c>
      <c r="K18" s="31" t="s">
        <v>12</v>
      </c>
    </row>
    <row r="19" spans="2:11">
      <c r="B19" s="344" t="s">
        <v>13</v>
      </c>
      <c r="C19" s="345"/>
      <c r="D19" s="346"/>
      <c r="E19" s="20">
        <v>18072328.899999999</v>
      </c>
      <c r="F19" s="153"/>
      <c r="G19" s="33"/>
      <c r="H19" s="34"/>
      <c r="I19" s="30"/>
      <c r="J19" s="25">
        <v>47753.19</v>
      </c>
      <c r="K19" s="31" t="s">
        <v>14</v>
      </c>
    </row>
    <row r="20" spans="2:11">
      <c r="B20" s="187" t="s">
        <v>15</v>
      </c>
      <c r="C20" s="188"/>
      <c r="D20" s="189"/>
      <c r="E20" s="190">
        <f>SUM(E21:E23)</f>
        <v>802119.68000000005</v>
      </c>
      <c r="F20" s="153"/>
      <c r="G20" s="361" t="s">
        <v>16</v>
      </c>
      <c r="H20" s="362"/>
      <c r="I20" s="36"/>
      <c r="J20" s="37"/>
      <c r="K20" s="38"/>
    </row>
    <row r="21" spans="2:11">
      <c r="B21" s="187"/>
      <c r="C21" s="188"/>
      <c r="D21" s="198" t="s">
        <v>63</v>
      </c>
      <c r="E21" s="190">
        <v>802119.68000000005</v>
      </c>
      <c r="F21" s="158">
        <f>SUM(E24:E31)</f>
        <v>2209304.0499999998</v>
      </c>
      <c r="G21" s="44">
        <v>13751.48</v>
      </c>
      <c r="H21" s="29" t="s">
        <v>10</v>
      </c>
      <c r="I21" s="30"/>
      <c r="J21" s="37"/>
      <c r="K21" s="45"/>
    </row>
    <row r="22" spans="2:11">
      <c r="B22" s="187"/>
      <c r="C22" s="188"/>
      <c r="D22" s="198"/>
      <c r="E22" s="190">
        <v>0</v>
      </c>
      <c r="F22" s="148">
        <f>+F17-F21</f>
        <v>-1267253.4499999997</v>
      </c>
      <c r="G22" s="44">
        <v>7748.51</v>
      </c>
      <c r="H22" s="29" t="s">
        <v>18</v>
      </c>
      <c r="I22" s="30"/>
      <c r="J22" s="50"/>
      <c r="K22" s="38"/>
    </row>
    <row r="23" spans="2:11" ht="15" thickBot="1">
      <c r="B23" s="187"/>
      <c r="C23" s="188"/>
      <c r="D23" s="198"/>
      <c r="E23" s="190">
        <v>0</v>
      </c>
      <c r="F23" s="148"/>
      <c r="G23" s="51"/>
      <c r="H23" s="34"/>
      <c r="I23" s="30"/>
      <c r="J23" s="210"/>
      <c r="K23" s="53"/>
    </row>
    <row r="24" spans="2:11" ht="15" thickBot="1">
      <c r="B24" s="46" t="s">
        <v>17</v>
      </c>
      <c r="C24" s="47"/>
      <c r="D24" s="48"/>
      <c r="E24" s="49">
        <v>504934.25</v>
      </c>
      <c r="F24" s="148"/>
      <c r="G24" s="331" t="s">
        <v>21</v>
      </c>
      <c r="H24" s="332"/>
      <c r="I24" s="332"/>
      <c r="J24" s="332"/>
      <c r="K24" s="333"/>
    </row>
    <row r="25" spans="2:11">
      <c r="B25" s="202" t="s">
        <v>80</v>
      </c>
      <c r="C25" s="203"/>
      <c r="D25" s="204"/>
      <c r="E25" s="49">
        <v>1678000</v>
      </c>
      <c r="F25" s="80"/>
      <c r="G25" s="54"/>
      <c r="H25" s="55"/>
      <c r="I25" s="56"/>
      <c r="J25" s="211"/>
      <c r="K25" s="58"/>
    </row>
    <row r="26" spans="2:11">
      <c r="B26" s="199" t="s">
        <v>23</v>
      </c>
      <c r="C26" s="200"/>
      <c r="D26" s="201"/>
      <c r="E26" s="49">
        <v>0</v>
      </c>
      <c r="F26" s="154"/>
      <c r="G26" s="347" t="s">
        <v>5</v>
      </c>
      <c r="H26" s="348"/>
      <c r="I26" s="59"/>
      <c r="J26" s="60"/>
      <c r="K26" s="45"/>
    </row>
    <row r="27" spans="2:11">
      <c r="B27" s="199" t="s">
        <v>170</v>
      </c>
      <c r="C27" s="200"/>
      <c r="D27" s="201"/>
      <c r="E27" s="49">
        <v>0</v>
      </c>
      <c r="F27" s="154"/>
      <c r="G27" s="22">
        <f>31713.26-11500-8500</f>
        <v>11713.259999999998</v>
      </c>
      <c r="H27" s="62" t="s">
        <v>9</v>
      </c>
      <c r="I27" s="59"/>
      <c r="J27" s="60"/>
      <c r="K27" s="45"/>
    </row>
    <row r="28" spans="2:11">
      <c r="B28" s="199" t="s">
        <v>22</v>
      </c>
      <c r="C28" s="200"/>
      <c r="D28" s="201"/>
      <c r="E28" s="49">
        <v>26369.8</v>
      </c>
      <c r="F28" s="154"/>
      <c r="G28" s="22">
        <v>874221.28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199" t="s">
        <v>24</v>
      </c>
      <c r="C29" s="200"/>
      <c r="D29" s="201"/>
      <c r="E29" s="49">
        <v>0</v>
      </c>
      <c r="F29" s="154"/>
      <c r="G29" s="67">
        <v>126589.33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25</v>
      </c>
      <c r="C30" s="345"/>
      <c r="D30" s="346"/>
      <c r="E30" s="49">
        <v>0</v>
      </c>
      <c r="F30" s="154"/>
      <c r="G30" s="71">
        <f>325652.9-254025.53</f>
        <v>71627.370000000024</v>
      </c>
      <c r="H30" s="72" t="s">
        <v>12</v>
      </c>
      <c r="I30" s="73"/>
      <c r="J30" s="74" t="s">
        <v>32</v>
      </c>
      <c r="K30" s="75" t="s">
        <v>33</v>
      </c>
    </row>
    <row r="31" spans="2:11" ht="15" thickBot="1">
      <c r="B31" s="363" t="s">
        <v>29</v>
      </c>
      <c r="C31" s="364"/>
      <c r="D31" s="365"/>
      <c r="E31" s="66">
        <v>0</v>
      </c>
      <c r="F31" s="154"/>
      <c r="G31" s="76"/>
      <c r="H31" s="76"/>
      <c r="I31" s="76"/>
      <c r="J31" s="76"/>
      <c r="K31" s="1"/>
    </row>
    <row r="37" spans="5:7">
      <c r="E37" s="181" t="s">
        <v>168</v>
      </c>
      <c r="F37" s="178"/>
      <c r="G37" s="8"/>
    </row>
    <row r="38" spans="5:7" s="61" customFormat="1" ht="15" customHeight="1">
      <c r="E38" s="181"/>
      <c r="F38" s="178"/>
      <c r="G38" s="86">
        <v>1659693.86</v>
      </c>
    </row>
    <row r="39" spans="5:7" s="61" customFormat="1" ht="15" customHeight="1">
      <c r="E39" s="8" t="s">
        <v>34</v>
      </c>
      <c r="F39" s="178">
        <f>F17</f>
        <v>942050.6</v>
      </c>
      <c r="G39" s="86">
        <v>480000</v>
      </c>
    </row>
    <row r="40" spans="5:7" s="61" customFormat="1" ht="15" customHeight="1">
      <c r="E40" s="8" t="s">
        <v>35</v>
      </c>
      <c r="F40" s="213">
        <f>+E18</f>
        <v>1084151.24</v>
      </c>
      <c r="G40" s="86"/>
    </row>
    <row r="41" spans="5:7" s="61" customFormat="1" ht="15" customHeight="1">
      <c r="E41" s="8" t="s">
        <v>36</v>
      </c>
      <c r="F41" s="178">
        <v>0</v>
      </c>
      <c r="G41" s="88"/>
    </row>
    <row r="42" spans="5:7" s="61" customFormat="1" ht="15" customHeight="1">
      <c r="E42" s="8" t="s">
        <v>37</v>
      </c>
      <c r="F42" s="178">
        <v>0</v>
      </c>
      <c r="G42" s="13"/>
    </row>
    <row r="43" spans="5:7" s="61" customFormat="1" ht="15" customHeight="1">
      <c r="E43" s="182" t="s">
        <v>38</v>
      </c>
      <c r="F43" s="179">
        <f>SUM(F39:F42)</f>
        <v>2026201.8399999999</v>
      </c>
      <c r="G43" s="13"/>
    </row>
    <row r="44" spans="5:7" s="61" customFormat="1" ht="15" customHeight="1">
      <c r="E44" s="183"/>
      <c r="F44" s="174"/>
    </row>
    <row r="45" spans="5:7" s="61" customFormat="1" ht="15" customHeight="1">
      <c r="E45" s="114" t="s">
        <v>164</v>
      </c>
      <c r="F45" s="154">
        <v>95000</v>
      </c>
    </row>
    <row r="46" spans="5:7" s="61" customFormat="1" ht="15" customHeight="1">
      <c r="E46" s="114" t="s">
        <v>80</v>
      </c>
      <c r="F46" s="154">
        <v>1700000</v>
      </c>
      <c r="G46" s="166"/>
    </row>
    <row r="47" spans="5:7" s="61" customFormat="1" ht="15" customHeight="1">
      <c r="E47" s="114" t="s">
        <v>81</v>
      </c>
      <c r="F47" s="154">
        <v>0</v>
      </c>
    </row>
    <row r="48" spans="5:7" s="61" customFormat="1" ht="15" customHeight="1">
      <c r="E48" s="116" t="s">
        <v>24</v>
      </c>
      <c r="F48" s="154">
        <f>15000+65000</f>
        <v>80000</v>
      </c>
    </row>
    <row r="49" spans="5:6" s="61" customFormat="1">
      <c r="E49" s="116" t="s">
        <v>39</v>
      </c>
      <c r="F49" s="154">
        <v>2000</v>
      </c>
    </row>
    <row r="50" spans="5:6" s="61" customFormat="1">
      <c r="E50" s="116" t="s">
        <v>22</v>
      </c>
      <c r="F50" s="154">
        <v>0</v>
      </c>
    </row>
    <row r="51" spans="5:6" s="61" customFormat="1">
      <c r="E51" s="116" t="s">
        <v>69</v>
      </c>
      <c r="F51" s="154">
        <v>0</v>
      </c>
    </row>
    <row r="52" spans="5:6" s="61" customFormat="1">
      <c r="E52" s="116" t="s">
        <v>40</v>
      </c>
      <c r="F52" s="154">
        <v>0</v>
      </c>
    </row>
    <row r="53" spans="5:6" s="61" customFormat="1">
      <c r="E53" s="118" t="s">
        <v>41</v>
      </c>
      <c r="F53" s="119">
        <f>SUM(F45:F52)</f>
        <v>1877000</v>
      </c>
    </row>
    <row r="54" spans="5:6" s="61" customFormat="1">
      <c r="E54" s="118" t="s">
        <v>42</v>
      </c>
      <c r="F54" s="119">
        <f>F43-F53</f>
        <v>149201.83999999985</v>
      </c>
    </row>
    <row r="55" spans="5:6" s="61" customFormat="1">
      <c r="E55" s="82"/>
      <c r="F55" s="80"/>
    </row>
    <row r="56" spans="5:6" s="61" customFormat="1">
      <c r="E56" s="82" t="s">
        <v>43</v>
      </c>
      <c r="F56" s="80">
        <f>43800+180000</f>
        <v>223800</v>
      </c>
    </row>
    <row r="57" spans="5:6" s="61" customFormat="1">
      <c r="E57" s="82" t="s">
        <v>44</v>
      </c>
      <c r="F57" s="80">
        <f>100000+350000-20000-40000</f>
        <v>390000</v>
      </c>
    </row>
    <row r="58" spans="5:6" s="61" customFormat="1">
      <c r="E58" s="82" t="s">
        <v>91</v>
      </c>
      <c r="F58" s="117">
        <v>0</v>
      </c>
    </row>
    <row r="59" spans="5:6" s="61" customFormat="1">
      <c r="E59" s="118" t="s">
        <v>46</v>
      </c>
      <c r="F59" s="120">
        <f>SUM(F56:F58)</f>
        <v>613800</v>
      </c>
    </row>
    <row r="60" spans="5:6" s="61" customFormat="1">
      <c r="E60" s="82"/>
      <c r="F60" s="80"/>
    </row>
    <row r="61" spans="5:6">
      <c r="E61" s="118" t="s">
        <v>47</v>
      </c>
      <c r="F61" s="120">
        <f>F54-F59</f>
        <v>-464598.16000000015</v>
      </c>
    </row>
  </sheetData>
  <mergeCells count="16">
    <mergeCell ref="G26:H26"/>
    <mergeCell ref="B30:D30"/>
    <mergeCell ref="B31:D31"/>
    <mergeCell ref="B16:D16"/>
    <mergeCell ref="B17:D17"/>
    <mergeCell ref="B18:D18"/>
    <mergeCell ref="B19:D19"/>
    <mergeCell ref="G20:H20"/>
    <mergeCell ref="G24:K24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DA64E-B2B3-4C32-9BCA-0BDFA268F285}">
  <dimension ref="B6:P60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147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145"/>
      <c r="G6" s="5"/>
      <c r="H6" s="5"/>
      <c r="I6" s="5"/>
      <c r="J6" s="209"/>
      <c r="K6" s="5"/>
    </row>
    <row r="7" spans="2:11">
      <c r="B7" s="1"/>
      <c r="C7" s="1"/>
      <c r="D7" s="1"/>
      <c r="E7" s="1"/>
      <c r="F7" s="144"/>
      <c r="G7" s="1"/>
      <c r="H7" s="1"/>
      <c r="I7" s="1"/>
      <c r="J7" s="76"/>
      <c r="K7" s="1"/>
    </row>
    <row r="8" spans="2:11">
      <c r="B8" s="1"/>
      <c r="C8" s="1"/>
      <c r="D8" s="1"/>
      <c r="E8" s="1"/>
      <c r="F8" s="144"/>
      <c r="G8" s="1"/>
      <c r="H8" s="1"/>
      <c r="I8" s="4"/>
      <c r="J8" s="76"/>
      <c r="K8" s="76"/>
    </row>
    <row r="9" spans="2:11">
      <c r="B9" s="1"/>
      <c r="C9" s="1"/>
      <c r="D9" s="1"/>
      <c r="E9" s="1"/>
      <c r="F9" s="144"/>
      <c r="G9" s="1"/>
      <c r="H9" s="1"/>
      <c r="I9" s="4"/>
      <c r="J9" s="76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2:11" ht="15" thickBot="1">
      <c r="B11" s="1"/>
      <c r="C11" s="1"/>
      <c r="D11" s="1"/>
      <c r="E11" s="1"/>
      <c r="F11" s="144"/>
      <c r="G11" s="1"/>
      <c r="H11" s="1"/>
      <c r="I11" s="1"/>
      <c r="J11" s="76"/>
      <c r="K11" s="1"/>
    </row>
    <row r="12" spans="2:11" ht="18" thickBot="1">
      <c r="B12" s="331" t="s">
        <v>2</v>
      </c>
      <c r="C12" s="332"/>
      <c r="D12" s="332"/>
      <c r="E12" s="333"/>
      <c r="F12" s="186"/>
      <c r="G12" s="1"/>
      <c r="H12" s="1"/>
      <c r="I12" s="1"/>
      <c r="J12" s="76"/>
      <c r="K12" s="1"/>
    </row>
    <row r="13" spans="2:11" ht="18" thickBot="1">
      <c r="B13" s="1"/>
      <c r="C13" s="1"/>
      <c r="D13" s="1"/>
      <c r="E13" s="1"/>
      <c r="F13" s="149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134963.51999999999</v>
      </c>
      <c r="F14" s="149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60548.039999999994</v>
      </c>
      <c r="F15" s="153">
        <f>E15+E16+E17</f>
        <v>134963.51999999999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21499.989999999998</v>
      </c>
      <c r="F16" s="153">
        <v>90000</v>
      </c>
      <c r="G16" s="22">
        <v>28502.59</v>
      </c>
      <c r="H16" s="23" t="s">
        <v>8</v>
      </c>
      <c r="I16" s="24"/>
      <c r="J16" s="25">
        <v>14603.95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52915.49</v>
      </c>
      <c r="F17" s="153">
        <f>F15-F16</f>
        <v>44963.51999999999</v>
      </c>
      <c r="G17" s="22">
        <v>11101.61</v>
      </c>
      <c r="H17" s="29" t="s">
        <v>10</v>
      </c>
      <c r="I17" s="30"/>
      <c r="J17" s="25">
        <v>18510.78</v>
      </c>
      <c r="K17" s="31" t="s">
        <v>10</v>
      </c>
    </row>
    <row r="18" spans="2:11">
      <c r="B18" s="355" t="s">
        <v>11</v>
      </c>
      <c r="C18" s="356"/>
      <c r="D18" s="357"/>
      <c r="E18" s="20">
        <f>G28+G30+G29+G27</f>
        <v>204270.59999999998</v>
      </c>
      <c r="F18" s="153"/>
      <c r="G18" s="22">
        <v>13311.29</v>
      </c>
      <c r="H18" s="29" t="s">
        <v>12</v>
      </c>
      <c r="I18" s="30"/>
      <c r="J18" s="25">
        <v>13579.33</v>
      </c>
      <c r="K18" s="31" t="s">
        <v>12</v>
      </c>
    </row>
    <row r="19" spans="2:11">
      <c r="B19" s="344" t="s">
        <v>13</v>
      </c>
      <c r="C19" s="345"/>
      <c r="D19" s="346"/>
      <c r="E19" s="20">
        <v>18125343.309999999</v>
      </c>
      <c r="F19" s="153"/>
      <c r="G19" s="33"/>
      <c r="H19" s="34"/>
      <c r="I19" s="30"/>
      <c r="J19" s="25">
        <v>13853.98</v>
      </c>
      <c r="K19" s="31" t="s">
        <v>14</v>
      </c>
    </row>
    <row r="20" spans="2:11">
      <c r="B20" s="187" t="s">
        <v>15</v>
      </c>
      <c r="C20" s="188"/>
      <c r="D20" s="189"/>
      <c r="E20" s="190">
        <f>SUM(E21:E23)</f>
        <v>0</v>
      </c>
      <c r="F20" s="153"/>
      <c r="G20" s="361" t="s">
        <v>16</v>
      </c>
      <c r="H20" s="362"/>
      <c r="I20" s="36"/>
      <c r="J20" s="37"/>
      <c r="K20" s="38"/>
    </row>
    <row r="21" spans="2:11">
      <c r="B21" s="187"/>
      <c r="C21" s="188"/>
      <c r="D21" s="198"/>
      <c r="E21" s="190">
        <v>0</v>
      </c>
      <c r="F21" s="158">
        <f>SUM(E24:E31)</f>
        <v>30192.799999999999</v>
      </c>
      <c r="G21" s="44">
        <v>13751.48</v>
      </c>
      <c r="H21" s="29" t="s">
        <v>10</v>
      </c>
      <c r="I21" s="30"/>
      <c r="J21" s="37"/>
      <c r="K21" s="45"/>
    </row>
    <row r="22" spans="2:11">
      <c r="B22" s="187"/>
      <c r="C22" s="188"/>
      <c r="D22" s="198"/>
      <c r="E22" s="190">
        <v>0</v>
      </c>
      <c r="F22" s="148">
        <f>+F17-F21</f>
        <v>14770.71999999999</v>
      </c>
      <c r="G22" s="44">
        <v>7748.51</v>
      </c>
      <c r="H22" s="29" t="s">
        <v>18</v>
      </c>
      <c r="I22" s="30"/>
      <c r="J22" s="50"/>
      <c r="K22" s="38"/>
    </row>
    <row r="23" spans="2:11" ht="15" thickBot="1">
      <c r="B23" s="187"/>
      <c r="C23" s="188"/>
      <c r="D23" s="198"/>
      <c r="E23" s="190">
        <v>0</v>
      </c>
      <c r="F23" s="148"/>
      <c r="G23" s="51"/>
      <c r="H23" s="34"/>
      <c r="I23" s="30"/>
      <c r="J23" s="210"/>
      <c r="K23" s="53"/>
    </row>
    <row r="24" spans="2:11" ht="15" thickBot="1">
      <c r="B24" s="46" t="s">
        <v>17</v>
      </c>
      <c r="C24" s="47"/>
      <c r="D24" s="48"/>
      <c r="E24" s="49">
        <v>30192.799999999999</v>
      </c>
      <c r="F24" s="148"/>
      <c r="G24" s="331" t="s">
        <v>21</v>
      </c>
      <c r="H24" s="332"/>
      <c r="I24" s="332"/>
      <c r="J24" s="332"/>
      <c r="K24" s="333"/>
    </row>
    <row r="25" spans="2:11">
      <c r="B25" s="202" t="s">
        <v>80</v>
      </c>
      <c r="C25" s="203"/>
      <c r="D25" s="204"/>
      <c r="E25" s="49">
        <v>0</v>
      </c>
      <c r="F25" s="80"/>
      <c r="G25" s="54"/>
      <c r="H25" s="55"/>
      <c r="I25" s="56"/>
      <c r="J25" s="211"/>
      <c r="K25" s="58"/>
    </row>
    <row r="26" spans="2:11">
      <c r="B26" s="199" t="s">
        <v>23</v>
      </c>
      <c r="C26" s="200"/>
      <c r="D26" s="201"/>
      <c r="E26" s="49">
        <v>0</v>
      </c>
      <c r="F26" s="154"/>
      <c r="G26" s="347" t="s">
        <v>5</v>
      </c>
      <c r="H26" s="348"/>
      <c r="I26" s="59"/>
      <c r="J26" s="60"/>
      <c r="K26" s="45"/>
    </row>
    <row r="27" spans="2:11">
      <c r="B27" s="199" t="s">
        <v>170</v>
      </c>
      <c r="C27" s="200"/>
      <c r="D27" s="201"/>
      <c r="E27" s="49">
        <v>0</v>
      </c>
      <c r="F27" s="154"/>
      <c r="G27" s="22">
        <f>31731.75-11500-8500</f>
        <v>11731.75</v>
      </c>
      <c r="H27" s="62" t="s">
        <v>9</v>
      </c>
      <c r="I27" s="59"/>
      <c r="J27" s="60"/>
      <c r="K27" s="45"/>
    </row>
    <row r="28" spans="2:11">
      <c r="B28" s="199" t="s">
        <v>22</v>
      </c>
      <c r="C28" s="200"/>
      <c r="D28" s="201"/>
      <c r="E28" s="49">
        <v>0</v>
      </c>
      <c r="F28" s="154"/>
      <c r="G28" s="22">
        <v>74228.34</v>
      </c>
      <c r="H28" s="62" t="s">
        <v>26</v>
      </c>
      <c r="I28" s="63"/>
      <c r="J28" s="64" t="s">
        <v>27</v>
      </c>
      <c r="K28" s="65" t="s">
        <v>28</v>
      </c>
    </row>
    <row r="29" spans="2:11">
      <c r="B29" s="199" t="s">
        <v>24</v>
      </c>
      <c r="C29" s="200"/>
      <c r="D29" s="201"/>
      <c r="E29" s="49">
        <v>0</v>
      </c>
      <c r="F29" s="154"/>
      <c r="G29" s="67">
        <v>46593.94</v>
      </c>
      <c r="H29" s="68" t="s">
        <v>14</v>
      </c>
      <c r="I29" s="63"/>
      <c r="J29" s="64" t="s">
        <v>30</v>
      </c>
      <c r="K29" s="65" t="s">
        <v>31</v>
      </c>
    </row>
    <row r="30" spans="2:11" ht="15" thickBot="1">
      <c r="B30" s="344" t="s">
        <v>25</v>
      </c>
      <c r="C30" s="345"/>
      <c r="D30" s="346"/>
      <c r="E30" s="49">
        <v>0</v>
      </c>
      <c r="F30" s="154"/>
      <c r="G30" s="71">
        <f>325742.1-254025.53</f>
        <v>71716.569999999978</v>
      </c>
      <c r="H30" s="72" t="s">
        <v>12</v>
      </c>
      <c r="I30" s="73"/>
      <c r="J30" s="74" t="s">
        <v>32</v>
      </c>
      <c r="K30" s="75" t="s">
        <v>33</v>
      </c>
    </row>
    <row r="31" spans="2:11" ht="15" thickBot="1">
      <c r="B31" s="363" t="s">
        <v>29</v>
      </c>
      <c r="C31" s="364"/>
      <c r="D31" s="365"/>
      <c r="E31" s="66">
        <v>0</v>
      </c>
      <c r="F31" s="154"/>
      <c r="G31" s="76"/>
      <c r="H31" s="76"/>
      <c r="I31" s="76"/>
      <c r="J31" s="76"/>
      <c r="K31" s="1"/>
    </row>
    <row r="37" spans="5:7">
      <c r="E37" s="181" t="s">
        <v>171</v>
      </c>
      <c r="F37" s="178"/>
      <c r="G37" s="8"/>
    </row>
    <row r="38" spans="5:7" s="61" customFormat="1" ht="15" customHeight="1">
      <c r="E38" s="181"/>
      <c r="F38" s="178"/>
      <c r="G38" s="86">
        <v>1659693.86</v>
      </c>
    </row>
    <row r="39" spans="5:7" s="61" customFormat="1" ht="15" customHeight="1">
      <c r="E39" s="8" t="s">
        <v>34</v>
      </c>
      <c r="F39" s="178">
        <f>F17</f>
        <v>44963.51999999999</v>
      </c>
      <c r="G39" s="86">
        <v>480000</v>
      </c>
    </row>
    <row r="40" spans="5:7" s="61" customFormat="1" ht="15" customHeight="1">
      <c r="E40" s="8" t="s">
        <v>35</v>
      </c>
      <c r="F40" s="213">
        <f>+E18</f>
        <v>204270.59999999998</v>
      </c>
      <c r="G40" s="86"/>
    </row>
    <row r="41" spans="5:7" s="61" customFormat="1" ht="15" customHeight="1">
      <c r="E41" s="8" t="s">
        <v>36</v>
      </c>
      <c r="F41" s="178">
        <v>0</v>
      </c>
      <c r="G41" s="88"/>
    </row>
    <row r="42" spans="5:7" s="61" customFormat="1" ht="15" customHeight="1">
      <c r="E42" s="8" t="s">
        <v>37</v>
      </c>
      <c r="F42" s="178">
        <v>0</v>
      </c>
      <c r="G42" s="13"/>
    </row>
    <row r="43" spans="5:7" s="61" customFormat="1" ht="15" customHeight="1">
      <c r="E43" s="182" t="s">
        <v>38</v>
      </c>
      <c r="F43" s="179">
        <f>SUM(F39:F42)</f>
        <v>249234.11999999997</v>
      </c>
      <c r="G43" s="13"/>
    </row>
    <row r="44" spans="5:7" s="61" customFormat="1" ht="15" customHeight="1">
      <c r="E44" s="183"/>
      <c r="F44" s="174"/>
    </row>
    <row r="45" spans="5:7" s="61" customFormat="1" ht="15" customHeight="1">
      <c r="E45" s="114" t="s">
        <v>164</v>
      </c>
      <c r="F45" s="154">
        <v>95000</v>
      </c>
    </row>
    <row r="46" spans="5:7" s="61" customFormat="1" ht="15" customHeight="1">
      <c r="E46" s="114" t="s">
        <v>80</v>
      </c>
      <c r="F46" s="154">
        <v>0</v>
      </c>
      <c r="G46" s="166"/>
    </row>
    <row r="47" spans="5:7" s="61" customFormat="1" ht="15" customHeight="1">
      <c r="E47" s="114" t="s">
        <v>81</v>
      </c>
      <c r="F47" s="154">
        <v>1600000</v>
      </c>
    </row>
    <row r="48" spans="5:7" s="61" customFormat="1" ht="15" customHeight="1">
      <c r="E48" s="116" t="s">
        <v>24</v>
      </c>
      <c r="F48" s="154">
        <v>0</v>
      </c>
    </row>
    <row r="49" spans="5:6" s="61" customFormat="1">
      <c r="E49" s="116" t="s">
        <v>39</v>
      </c>
      <c r="F49" s="154">
        <v>2000</v>
      </c>
    </row>
    <row r="50" spans="5:6" s="61" customFormat="1">
      <c r="E50" s="116" t="s">
        <v>22</v>
      </c>
      <c r="F50" s="154">
        <v>150000</v>
      </c>
    </row>
    <row r="51" spans="5:6" s="61" customFormat="1">
      <c r="E51" s="116" t="s">
        <v>40</v>
      </c>
      <c r="F51" s="154">
        <v>65000</v>
      </c>
    </row>
    <row r="52" spans="5:6" s="61" customFormat="1">
      <c r="E52" s="118" t="s">
        <v>41</v>
      </c>
      <c r="F52" s="119">
        <f>SUM(F45:F51)</f>
        <v>1912000</v>
      </c>
    </row>
    <row r="53" spans="5:6" s="61" customFormat="1">
      <c r="E53" s="118" t="s">
        <v>42</v>
      </c>
      <c r="F53" s="119">
        <f>F43-F52</f>
        <v>-1662765.8800000001</v>
      </c>
    </row>
    <row r="54" spans="5:6" s="61" customFormat="1">
      <c r="E54" s="82"/>
      <c r="F54" s="80"/>
    </row>
    <row r="55" spans="5:6" s="61" customFormat="1">
      <c r="E55" s="82" t="s">
        <v>43</v>
      </c>
      <c r="F55" s="80">
        <f>43800+180000</f>
        <v>223800</v>
      </c>
    </row>
    <row r="56" spans="5:6" s="61" customFormat="1">
      <c r="E56" s="82" t="s">
        <v>44</v>
      </c>
      <c r="F56" s="80">
        <f>100000+350000-20000-40000</f>
        <v>390000</v>
      </c>
    </row>
    <row r="57" spans="5:6" s="61" customFormat="1">
      <c r="E57" s="82" t="s">
        <v>91</v>
      </c>
      <c r="F57" s="117">
        <v>0</v>
      </c>
    </row>
    <row r="58" spans="5:6" s="61" customFormat="1">
      <c r="E58" s="118" t="s">
        <v>46</v>
      </c>
      <c r="F58" s="120">
        <f>SUM(F55:F57)</f>
        <v>613800</v>
      </c>
    </row>
    <row r="59" spans="5:6" s="61" customFormat="1">
      <c r="E59" s="82"/>
      <c r="F59" s="80"/>
    </row>
    <row r="60" spans="5:6">
      <c r="E60" s="118" t="s">
        <v>47</v>
      </c>
      <c r="F60" s="120">
        <f>F53-F58</f>
        <v>-2276565.88</v>
      </c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6:H26"/>
    <mergeCell ref="B30:D30"/>
    <mergeCell ref="B31:D31"/>
    <mergeCell ref="B16:D16"/>
    <mergeCell ref="B17:D17"/>
    <mergeCell ref="B18:D18"/>
    <mergeCell ref="B19:D19"/>
    <mergeCell ref="G20:H20"/>
    <mergeCell ref="G24:K24"/>
  </mergeCells>
  <pageMargins left="0.7" right="0.7" top="0.75" bottom="0.75" header="0.3" footer="0.3"/>
  <drawing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E80A4-EA78-4F7F-9177-3BABF41D71BE}">
  <dimension ref="B6:P59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2:11">
      <c r="B7" s="1"/>
      <c r="C7" s="1"/>
      <c r="D7" s="1"/>
      <c r="E7" s="1"/>
      <c r="F7" s="215"/>
      <c r="G7" s="1"/>
      <c r="H7" s="1"/>
      <c r="I7" s="1"/>
      <c r="J7" s="76"/>
      <c r="K7" s="1"/>
    </row>
    <row r="8" spans="2:11">
      <c r="B8" s="1"/>
      <c r="C8" s="1"/>
      <c r="D8" s="1"/>
      <c r="E8" s="1"/>
      <c r="F8" s="215"/>
      <c r="G8" s="1"/>
      <c r="H8" s="1"/>
      <c r="I8" s="4"/>
      <c r="J8" s="76"/>
      <c r="K8" s="76"/>
    </row>
    <row r="9" spans="2:11">
      <c r="B9" s="1"/>
      <c r="C9" s="1"/>
      <c r="D9" s="1"/>
      <c r="E9" s="1"/>
      <c r="F9" s="215"/>
      <c r="G9" s="1"/>
      <c r="H9" s="1"/>
      <c r="I9" s="4"/>
      <c r="J9" s="76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2:11" ht="15" thickBot="1"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2:11" ht="18" thickBot="1">
      <c r="B12" s="331" t="s">
        <v>2</v>
      </c>
      <c r="C12" s="332"/>
      <c r="D12" s="332"/>
      <c r="E12" s="333"/>
      <c r="F12" s="217"/>
      <c r="G12" s="1"/>
      <c r="H12" s="1"/>
      <c r="I12" s="1"/>
      <c r="J12" s="76"/>
      <c r="K12" s="1"/>
    </row>
    <row r="13" spans="2:11" ht="18" thickBot="1">
      <c r="B13" s="1"/>
      <c r="C13" s="1"/>
      <c r="D13" s="1"/>
      <c r="E13" s="1"/>
      <c r="F13" s="150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171894.13</v>
      </c>
      <c r="F14" s="153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91105.510000000009</v>
      </c>
      <c r="F15" s="153">
        <f>E15+E16+E17</f>
        <v>171894.13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21499.989999999998</v>
      </c>
      <c r="F16" s="153">
        <v>90000</v>
      </c>
      <c r="G16" s="22">
        <v>28502.59</v>
      </c>
      <c r="H16" s="23" t="s">
        <v>8</v>
      </c>
      <c r="I16" s="24"/>
      <c r="J16" s="25">
        <v>10129.25</v>
      </c>
      <c r="K16" s="26" t="s">
        <v>9</v>
      </c>
    </row>
    <row r="17" spans="2:13">
      <c r="B17" s="352" t="s">
        <v>6</v>
      </c>
      <c r="C17" s="353"/>
      <c r="D17" s="354"/>
      <c r="E17" s="28">
        <f>G16+G17+G18</f>
        <v>59288.63</v>
      </c>
      <c r="F17" s="153">
        <f>F15-F16</f>
        <v>81894.13</v>
      </c>
      <c r="G17" s="22">
        <v>11101.61</v>
      </c>
      <c r="H17" s="29" t="s">
        <v>10</v>
      </c>
      <c r="I17" s="30"/>
      <c r="J17" s="25">
        <v>55105.97</v>
      </c>
      <c r="K17" s="31" t="s">
        <v>10</v>
      </c>
      <c r="L17" s="13"/>
    </row>
    <row r="18" spans="2:13">
      <c r="B18" s="355" t="s">
        <v>11</v>
      </c>
      <c r="C18" s="356"/>
      <c r="D18" s="357"/>
      <c r="E18" s="20">
        <f>G28+G30+G29+G27</f>
        <v>169362.77</v>
      </c>
      <c r="F18" s="153"/>
      <c r="G18" s="22">
        <v>19684.43</v>
      </c>
      <c r="H18" s="29" t="s">
        <v>12</v>
      </c>
      <c r="I18" s="30"/>
      <c r="J18" s="25">
        <v>13582.25</v>
      </c>
      <c r="K18" s="31" t="s">
        <v>12</v>
      </c>
      <c r="L18" s="32"/>
    </row>
    <row r="19" spans="2:13">
      <c r="B19" s="344" t="s">
        <v>13</v>
      </c>
      <c r="C19" s="345"/>
      <c r="D19" s="346"/>
      <c r="E19" s="20">
        <v>18251445.82</v>
      </c>
      <c r="F19" s="153"/>
      <c r="G19" s="33"/>
      <c r="H19" s="34"/>
      <c r="I19" s="30"/>
      <c r="J19" s="25">
        <v>12288.04</v>
      </c>
      <c r="K19" s="31" t="s">
        <v>14</v>
      </c>
      <c r="L19" s="13"/>
      <c r="M19" t="s">
        <v>20</v>
      </c>
    </row>
    <row r="20" spans="2:13">
      <c r="B20" s="187" t="s">
        <v>15</v>
      </c>
      <c r="C20" s="188"/>
      <c r="D20" s="189"/>
      <c r="E20" s="190">
        <f>SUM(E21:E23)</f>
        <v>36595.19</v>
      </c>
      <c r="F20" s="153"/>
      <c r="G20" s="361" t="s">
        <v>16</v>
      </c>
      <c r="H20" s="362"/>
      <c r="I20" s="36"/>
      <c r="J20" s="37"/>
      <c r="K20" s="38"/>
      <c r="L20" s="39"/>
    </row>
    <row r="21" spans="2:13">
      <c r="B21" s="187"/>
      <c r="C21" s="188"/>
      <c r="D21" s="198" t="s">
        <v>172</v>
      </c>
      <c r="E21" s="190">
        <v>36595.19</v>
      </c>
      <c r="F21" s="153">
        <f>SUM(E24:E30)</f>
        <v>10119</v>
      </c>
      <c r="G21" s="44">
        <v>13751.48</v>
      </c>
      <c r="H21" s="29" t="s">
        <v>10</v>
      </c>
      <c r="I21" s="30"/>
      <c r="J21" s="37"/>
      <c r="K21" s="45"/>
      <c r="L21" s="39"/>
    </row>
    <row r="22" spans="2:13">
      <c r="B22" s="187"/>
      <c r="C22" s="188"/>
      <c r="D22" s="198"/>
      <c r="E22" s="190">
        <v>0</v>
      </c>
      <c r="F22" s="153">
        <f>+F17-F21</f>
        <v>71775.13</v>
      </c>
      <c r="G22" s="44">
        <v>7748.51</v>
      </c>
      <c r="H22" s="29" t="s">
        <v>18</v>
      </c>
      <c r="I22" s="30"/>
      <c r="J22" s="50"/>
      <c r="K22" s="38"/>
      <c r="L22" s="39"/>
    </row>
    <row r="23" spans="2:13" ht="15" thickBot="1">
      <c r="B23" s="187"/>
      <c r="C23" s="188"/>
      <c r="D23" s="198"/>
      <c r="E23" s="190">
        <v>0</v>
      </c>
      <c r="F23" s="153"/>
      <c r="G23" s="51"/>
      <c r="H23" s="34"/>
      <c r="I23" s="30"/>
      <c r="J23" s="210"/>
      <c r="K23" s="53"/>
      <c r="L23" s="39"/>
    </row>
    <row r="24" spans="2:13" ht="15" thickBot="1">
      <c r="B24" s="46" t="s">
        <v>17</v>
      </c>
      <c r="C24" s="47"/>
      <c r="D24" s="48"/>
      <c r="E24" s="49">
        <v>0</v>
      </c>
      <c r="F24" s="153"/>
      <c r="G24" s="331" t="s">
        <v>21</v>
      </c>
      <c r="H24" s="332"/>
      <c r="I24" s="332"/>
      <c r="J24" s="332"/>
      <c r="K24" s="333"/>
      <c r="L24" s="39"/>
    </row>
    <row r="25" spans="2:13">
      <c r="B25" s="202" t="s">
        <v>81</v>
      </c>
      <c r="C25" s="203"/>
      <c r="D25" s="204"/>
      <c r="E25" s="49">
        <f>8707+1412</f>
        <v>10119</v>
      </c>
      <c r="F25" s="221"/>
      <c r="G25" s="54"/>
      <c r="H25" s="55"/>
      <c r="I25" s="56"/>
      <c r="J25" s="211"/>
      <c r="K25" s="58"/>
      <c r="L25" s="39"/>
    </row>
    <row r="26" spans="2:13">
      <c r="B26" s="199" t="s">
        <v>163</v>
      </c>
      <c r="C26" s="200"/>
      <c r="D26" s="201"/>
      <c r="E26" s="49">
        <v>0</v>
      </c>
      <c r="F26" s="220"/>
      <c r="G26" s="347" t="s">
        <v>5</v>
      </c>
      <c r="H26" s="348"/>
      <c r="I26" s="59"/>
      <c r="J26" s="60"/>
      <c r="K26" s="45"/>
      <c r="L26" s="61"/>
    </row>
    <row r="27" spans="2:13">
      <c r="B27" s="199" t="s">
        <v>22</v>
      </c>
      <c r="C27" s="200"/>
      <c r="D27" s="201"/>
      <c r="E27" s="49">
        <v>0</v>
      </c>
      <c r="F27" s="220"/>
      <c r="G27" s="22">
        <f>31735.46-11500-8500</f>
        <v>11735.46</v>
      </c>
      <c r="H27" s="62" t="s">
        <v>9</v>
      </c>
      <c r="I27" s="59"/>
      <c r="J27" s="60"/>
      <c r="K27" s="45"/>
      <c r="L27" s="61"/>
    </row>
    <row r="28" spans="2:13">
      <c r="B28" s="199" t="s">
        <v>24</v>
      </c>
      <c r="C28" s="200"/>
      <c r="D28" s="201"/>
      <c r="E28" s="49">
        <v>0</v>
      </c>
      <c r="F28" s="220"/>
      <c r="G28" s="22">
        <v>74235.399999999994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3">
      <c r="B29" s="344" t="s">
        <v>25</v>
      </c>
      <c r="C29" s="345"/>
      <c r="D29" s="346"/>
      <c r="E29" s="49">
        <v>0</v>
      </c>
      <c r="F29" s="220"/>
      <c r="G29" s="67">
        <v>46598.55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3" ht="15" thickBot="1">
      <c r="B30" s="363" t="s">
        <v>29</v>
      </c>
      <c r="C30" s="364"/>
      <c r="D30" s="365"/>
      <c r="E30" s="66">
        <v>0</v>
      </c>
      <c r="F30" s="220"/>
      <c r="G30" s="71">
        <f>290818.89-254025.53</f>
        <v>36793.360000000015</v>
      </c>
      <c r="H30" s="72" t="s">
        <v>12</v>
      </c>
      <c r="I30" s="73"/>
      <c r="J30" s="74" t="s">
        <v>32</v>
      </c>
      <c r="K30" s="75" t="s">
        <v>33</v>
      </c>
      <c r="L30" s="61"/>
    </row>
    <row r="36" spans="5:7">
      <c r="E36" s="181" t="s">
        <v>171</v>
      </c>
      <c r="F36" s="222"/>
      <c r="G36" s="8"/>
    </row>
    <row r="37" spans="5:7">
      <c r="E37" s="181"/>
      <c r="F37" s="222"/>
      <c r="G37" s="8"/>
    </row>
    <row r="38" spans="5:7" s="61" customFormat="1" ht="15" customHeight="1">
      <c r="E38" s="8" t="s">
        <v>34</v>
      </c>
      <c r="F38" s="222">
        <f>F17</f>
        <v>81894.13</v>
      </c>
      <c r="G38" s="86">
        <v>1659693.86</v>
      </c>
    </row>
    <row r="39" spans="5:7" s="61" customFormat="1" ht="15" customHeight="1">
      <c r="E39" s="8" t="s">
        <v>35</v>
      </c>
      <c r="F39" s="222">
        <f>+E18</f>
        <v>169362.77</v>
      </c>
      <c r="G39" s="86">
        <v>480000</v>
      </c>
    </row>
    <row r="40" spans="5:7" s="61" customFormat="1" ht="15" customHeight="1">
      <c r="E40" s="8" t="s">
        <v>36</v>
      </c>
      <c r="F40" s="222">
        <v>0</v>
      </c>
      <c r="G40" s="86"/>
    </row>
    <row r="41" spans="5:7" s="61" customFormat="1" ht="15" customHeight="1">
      <c r="E41" s="8" t="s">
        <v>37</v>
      </c>
      <c r="F41" s="222">
        <v>0</v>
      </c>
      <c r="G41" s="88"/>
    </row>
    <row r="42" spans="5:7" s="61" customFormat="1" ht="15" customHeight="1">
      <c r="E42" s="182" t="s">
        <v>38</v>
      </c>
      <c r="F42" s="223">
        <f>SUM(F38:F41)</f>
        <v>251256.9</v>
      </c>
      <c r="G42" s="13"/>
    </row>
    <row r="43" spans="5:7" s="61" customFormat="1" ht="15" customHeight="1">
      <c r="E43" s="183"/>
      <c r="F43" s="224"/>
      <c r="G43" s="13"/>
    </row>
    <row r="44" spans="5:7" s="61" customFormat="1" ht="15" customHeight="1">
      <c r="E44" s="114" t="s">
        <v>164</v>
      </c>
      <c r="F44" s="220">
        <v>95000</v>
      </c>
    </row>
    <row r="45" spans="5:7" s="61" customFormat="1" ht="15" customHeight="1">
      <c r="E45" s="114" t="s">
        <v>80</v>
      </c>
      <c r="F45" s="220">
        <v>0</v>
      </c>
    </row>
    <row r="46" spans="5:7" s="61" customFormat="1" ht="15" customHeight="1">
      <c r="E46" s="114" t="s">
        <v>81</v>
      </c>
      <c r="F46" s="220">
        <v>1600000</v>
      </c>
      <c r="G46" s="166"/>
    </row>
    <row r="47" spans="5:7" s="61" customFormat="1" ht="15" customHeight="1">
      <c r="E47" s="116" t="s">
        <v>24</v>
      </c>
      <c r="F47" s="220">
        <v>0</v>
      </c>
    </row>
    <row r="48" spans="5:7" s="61" customFormat="1" ht="15" customHeight="1">
      <c r="E48" s="116" t="s">
        <v>39</v>
      </c>
      <c r="F48" s="220">
        <v>2000</v>
      </c>
    </row>
    <row r="49" spans="5:6" s="61" customFormat="1">
      <c r="E49" s="116" t="s">
        <v>22</v>
      </c>
      <c r="F49" s="220">
        <v>150000</v>
      </c>
    </row>
    <row r="50" spans="5:6" s="61" customFormat="1">
      <c r="E50" s="116" t="s">
        <v>40</v>
      </c>
      <c r="F50" s="220">
        <f>65000-31000</f>
        <v>34000</v>
      </c>
    </row>
    <row r="51" spans="5:6" s="61" customFormat="1">
      <c r="E51" s="118" t="s">
        <v>41</v>
      </c>
      <c r="F51" s="225">
        <f>SUM(F44:F50)</f>
        <v>1881000</v>
      </c>
    </row>
    <row r="52" spans="5:6" s="61" customFormat="1">
      <c r="E52" s="118" t="s">
        <v>42</v>
      </c>
      <c r="F52" s="225">
        <f>F42-F51</f>
        <v>-1629743.1</v>
      </c>
    </row>
    <row r="53" spans="5:6" s="61" customFormat="1">
      <c r="E53" s="82"/>
      <c r="F53" s="221"/>
    </row>
    <row r="54" spans="5:6" s="61" customFormat="1">
      <c r="E54" s="82" t="s">
        <v>43</v>
      </c>
      <c r="F54" s="221">
        <f>43800+180000</f>
        <v>223800</v>
      </c>
    </row>
    <row r="55" spans="5:6" s="61" customFormat="1">
      <c r="E55" s="82" t="s">
        <v>44</v>
      </c>
      <c r="F55" s="221">
        <f>100000+350000-20000-40000</f>
        <v>390000</v>
      </c>
    </row>
    <row r="56" spans="5:6" s="61" customFormat="1">
      <c r="E56" s="82" t="s">
        <v>91</v>
      </c>
      <c r="F56" s="226">
        <v>0</v>
      </c>
    </row>
    <row r="57" spans="5:6" s="61" customFormat="1">
      <c r="E57" s="118" t="s">
        <v>46</v>
      </c>
      <c r="F57" s="227">
        <f>SUM(F54:F56)</f>
        <v>613800</v>
      </c>
    </row>
    <row r="58" spans="5:6" s="61" customFormat="1">
      <c r="E58" s="82"/>
      <c r="F58" s="221"/>
    </row>
    <row r="59" spans="5:6" s="61" customFormat="1">
      <c r="E59" s="118" t="s">
        <v>47</v>
      </c>
      <c r="F59" s="227">
        <f>F52-F57</f>
        <v>-2243543.1</v>
      </c>
    </row>
  </sheetData>
  <mergeCells count="16">
    <mergeCell ref="G26:H26"/>
    <mergeCell ref="B29:D29"/>
    <mergeCell ref="B30:D30"/>
    <mergeCell ref="B16:D16"/>
    <mergeCell ref="B17:D17"/>
    <mergeCell ref="B18:D18"/>
    <mergeCell ref="B19:D19"/>
    <mergeCell ref="G20:H20"/>
    <mergeCell ref="G24:K24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19DE3-A7A8-4B9B-9F6C-E923B6BBA868}">
  <dimension ref="B6:P59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2:11">
      <c r="B7" s="1"/>
      <c r="C7" s="1"/>
      <c r="D7" s="1"/>
      <c r="E7" s="1"/>
      <c r="F7" s="215"/>
      <c r="G7" s="1"/>
      <c r="H7" s="1"/>
      <c r="I7" s="1"/>
      <c r="J7" s="76"/>
      <c r="K7" s="1"/>
    </row>
    <row r="8" spans="2:11">
      <c r="B8" s="1"/>
      <c r="C8" s="1"/>
      <c r="D8" s="1"/>
      <c r="E8" s="1"/>
      <c r="F8" s="215"/>
      <c r="G8" s="1"/>
      <c r="H8" s="1"/>
      <c r="I8" s="4"/>
      <c r="J8" s="76"/>
      <c r="K8" s="76"/>
    </row>
    <row r="9" spans="2:11">
      <c r="B9" s="1"/>
      <c r="C9" s="1"/>
      <c r="D9" s="1"/>
      <c r="E9" s="1"/>
      <c r="F9" s="215"/>
      <c r="G9" s="1"/>
      <c r="H9" s="1"/>
      <c r="I9" s="4"/>
      <c r="J9" s="76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2:11" ht="15" thickBot="1"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2:11" ht="18" thickBot="1">
      <c r="B12" s="331" t="s">
        <v>2</v>
      </c>
      <c r="C12" s="332"/>
      <c r="D12" s="332"/>
      <c r="E12" s="333"/>
      <c r="F12" s="217"/>
      <c r="G12" s="1"/>
      <c r="H12" s="1"/>
      <c r="I12" s="1"/>
      <c r="J12" s="76"/>
      <c r="K12" s="1"/>
    </row>
    <row r="13" spans="2:11" ht="18" thickBot="1">
      <c r="B13" s="1"/>
      <c r="C13" s="1"/>
      <c r="D13" s="1"/>
      <c r="E13" s="1"/>
      <c r="F13" s="150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135192.31</v>
      </c>
      <c r="F14" s="150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51451.72</v>
      </c>
      <c r="F15" s="153">
        <f>E15+E16+E17</f>
        <v>135192.31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26380.98</v>
      </c>
      <c r="F16" s="153">
        <v>90000</v>
      </c>
      <c r="G16" s="22">
        <v>28502.59</v>
      </c>
      <c r="H16" s="23" t="s">
        <v>8</v>
      </c>
      <c r="I16" s="24"/>
      <c r="J16" s="25">
        <v>14238.46</v>
      </c>
      <c r="K16" s="26" t="s">
        <v>9</v>
      </c>
    </row>
    <row r="17" spans="2:13">
      <c r="B17" s="352" t="s">
        <v>6</v>
      </c>
      <c r="C17" s="353"/>
      <c r="D17" s="354"/>
      <c r="E17" s="28">
        <f>G16+G17+G18</f>
        <v>57359.61</v>
      </c>
      <c r="F17" s="153">
        <f>F15-F16</f>
        <v>45192.31</v>
      </c>
      <c r="G17" s="22">
        <v>10610.99</v>
      </c>
      <c r="H17" s="29" t="s">
        <v>10</v>
      </c>
      <c r="I17" s="30"/>
      <c r="J17" s="25">
        <v>11342.97</v>
      </c>
      <c r="K17" s="31" t="s">
        <v>10</v>
      </c>
      <c r="L17" s="13"/>
    </row>
    <row r="18" spans="2:13">
      <c r="B18" s="355" t="s">
        <v>11</v>
      </c>
      <c r="C18" s="356"/>
      <c r="D18" s="357"/>
      <c r="E18" s="20">
        <f>G28+G30+G29+G27</f>
        <v>169460.98</v>
      </c>
      <c r="F18" s="153"/>
      <c r="G18" s="22">
        <v>18246.03</v>
      </c>
      <c r="H18" s="29" t="s">
        <v>12</v>
      </c>
      <c r="I18" s="30"/>
      <c r="J18" s="25">
        <v>13582.25</v>
      </c>
      <c r="K18" s="31" t="s">
        <v>12</v>
      </c>
      <c r="L18" s="32"/>
    </row>
    <row r="19" spans="2:13">
      <c r="B19" s="344" t="s">
        <v>13</v>
      </c>
      <c r="C19" s="345"/>
      <c r="D19" s="346"/>
      <c r="E19" s="20">
        <v>18231061.620000001</v>
      </c>
      <c r="F19" s="153"/>
      <c r="G19" s="33"/>
      <c r="H19" s="34"/>
      <c r="I19" s="30"/>
      <c r="J19" s="25">
        <v>12288.04</v>
      </c>
      <c r="K19" s="31" t="s">
        <v>14</v>
      </c>
      <c r="L19" s="13"/>
      <c r="M19" t="s">
        <v>20</v>
      </c>
    </row>
    <row r="20" spans="2:13">
      <c r="B20" s="187" t="s">
        <v>15</v>
      </c>
      <c r="C20" s="188"/>
      <c r="D20" s="189"/>
      <c r="E20" s="190">
        <f>SUM(E21:E23)</f>
        <v>0</v>
      </c>
      <c r="F20" s="153"/>
      <c r="G20" s="361" t="s">
        <v>16</v>
      </c>
      <c r="H20" s="362"/>
      <c r="I20" s="36"/>
      <c r="J20" s="37"/>
      <c r="K20" s="38"/>
      <c r="L20" s="39"/>
    </row>
    <row r="21" spans="2:13">
      <c r="B21" s="187"/>
      <c r="C21" s="188"/>
      <c r="D21" s="198"/>
      <c r="E21" s="190">
        <v>0</v>
      </c>
      <c r="F21" s="153">
        <f>SUM(E24:E30)</f>
        <v>134015.09</v>
      </c>
      <c r="G21" s="44">
        <v>13751.48</v>
      </c>
      <c r="H21" s="29" t="s">
        <v>10</v>
      </c>
      <c r="I21" s="30"/>
      <c r="J21" s="37"/>
      <c r="K21" s="45"/>
      <c r="L21" s="39"/>
    </row>
    <row r="22" spans="2:13">
      <c r="B22" s="187"/>
      <c r="C22" s="188"/>
      <c r="D22" s="198"/>
      <c r="E22" s="190">
        <v>0</v>
      </c>
      <c r="F22" s="153">
        <f>+F17-F21</f>
        <v>-88822.78</v>
      </c>
      <c r="G22" s="44">
        <v>12629.5</v>
      </c>
      <c r="H22" s="29" t="s">
        <v>18</v>
      </c>
      <c r="I22" s="30"/>
      <c r="J22" s="50"/>
      <c r="K22" s="38"/>
      <c r="L22" s="39"/>
    </row>
    <row r="23" spans="2:13" ht="15" thickBot="1">
      <c r="B23" s="187"/>
      <c r="C23" s="188"/>
      <c r="D23" s="198"/>
      <c r="E23" s="190">
        <v>0</v>
      </c>
      <c r="F23" s="153"/>
      <c r="G23" s="51"/>
      <c r="H23" s="34"/>
      <c r="I23" s="30"/>
      <c r="J23" s="210"/>
      <c r="K23" s="53"/>
      <c r="L23" s="39"/>
    </row>
    <row r="24" spans="2:13" ht="15" thickBot="1">
      <c r="B24" s="46" t="s">
        <v>17</v>
      </c>
      <c r="C24" s="47"/>
      <c r="D24" s="48"/>
      <c r="E24" s="49">
        <v>44015.09</v>
      </c>
      <c r="F24" s="153"/>
      <c r="G24" s="331" t="s">
        <v>21</v>
      </c>
      <c r="H24" s="332"/>
      <c r="I24" s="332"/>
      <c r="J24" s="332"/>
      <c r="K24" s="333"/>
      <c r="L24" s="39"/>
    </row>
    <row r="25" spans="2:13">
      <c r="B25" s="202" t="s">
        <v>81</v>
      </c>
      <c r="C25" s="203"/>
      <c r="D25" s="204"/>
      <c r="E25" s="49">
        <v>0</v>
      </c>
      <c r="F25" s="221"/>
      <c r="G25" s="54"/>
      <c r="H25" s="55"/>
      <c r="I25" s="56"/>
      <c r="J25" s="211"/>
      <c r="K25" s="58"/>
      <c r="L25" s="39"/>
    </row>
    <row r="26" spans="2:13">
      <c r="B26" s="199" t="s">
        <v>163</v>
      </c>
      <c r="C26" s="200"/>
      <c r="D26" s="201"/>
      <c r="E26" s="49">
        <v>90000</v>
      </c>
      <c r="F26" s="220"/>
      <c r="G26" s="347" t="s">
        <v>5</v>
      </c>
      <c r="H26" s="348"/>
      <c r="I26" s="59"/>
      <c r="J26" s="60"/>
      <c r="K26" s="45"/>
      <c r="L26" s="61"/>
    </row>
    <row r="27" spans="2:13">
      <c r="B27" s="199" t="s">
        <v>22</v>
      </c>
      <c r="C27" s="200"/>
      <c r="D27" s="201"/>
      <c r="E27" s="49">
        <v>0</v>
      </c>
      <c r="F27" s="220"/>
      <c r="G27" s="22">
        <f>31739.16-11500-8500</f>
        <v>11739.16</v>
      </c>
      <c r="H27" s="62" t="s">
        <v>9</v>
      </c>
      <c r="I27" s="59"/>
      <c r="J27" s="60"/>
      <c r="K27" s="45"/>
      <c r="L27" s="61"/>
    </row>
    <row r="28" spans="2:13">
      <c r="B28" s="199" t="s">
        <v>24</v>
      </c>
      <c r="C28" s="200"/>
      <c r="D28" s="201"/>
      <c r="E28" s="49">
        <v>0</v>
      </c>
      <c r="F28" s="220"/>
      <c r="G28" s="22">
        <v>74242.320000000007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3">
      <c r="B29" s="344" t="s">
        <v>25</v>
      </c>
      <c r="C29" s="345"/>
      <c r="D29" s="346"/>
      <c r="E29" s="49">
        <v>0</v>
      </c>
      <c r="F29" s="220"/>
      <c r="G29" s="67">
        <v>46603.09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3" ht="15" thickBot="1">
      <c r="B30" s="363" t="s">
        <v>29</v>
      </c>
      <c r="C30" s="364"/>
      <c r="D30" s="365"/>
      <c r="E30" s="66">
        <v>0</v>
      </c>
      <c r="F30" s="220"/>
      <c r="G30" s="71">
        <f>290901.94-254025.53</f>
        <v>36876.410000000003</v>
      </c>
      <c r="H30" s="72" t="s">
        <v>12</v>
      </c>
      <c r="I30" s="73"/>
      <c r="J30" s="74" t="s">
        <v>32</v>
      </c>
      <c r="K30" s="75" t="s">
        <v>33</v>
      </c>
      <c r="L30" s="61"/>
    </row>
    <row r="36" spans="5:7">
      <c r="E36" s="181" t="s">
        <v>171</v>
      </c>
      <c r="F36" s="222"/>
      <c r="G36" s="8"/>
    </row>
    <row r="37" spans="5:7">
      <c r="E37" s="181"/>
      <c r="F37" s="222"/>
      <c r="G37" s="8"/>
    </row>
    <row r="38" spans="5:7" s="61" customFormat="1" ht="15" customHeight="1">
      <c r="E38" s="8" t="s">
        <v>34</v>
      </c>
      <c r="F38" s="222">
        <f>F17</f>
        <v>45192.31</v>
      </c>
      <c r="G38" s="86">
        <v>1659693.86</v>
      </c>
    </row>
    <row r="39" spans="5:7" s="61" customFormat="1" ht="15" customHeight="1">
      <c r="E39" s="8" t="s">
        <v>35</v>
      </c>
      <c r="F39" s="222">
        <f>+E18</f>
        <v>169460.98</v>
      </c>
      <c r="G39" s="86">
        <v>480000</v>
      </c>
    </row>
    <row r="40" spans="5:7" s="61" customFormat="1" ht="15" customHeight="1">
      <c r="E40" s="8" t="s">
        <v>36</v>
      </c>
      <c r="F40" s="222">
        <v>0</v>
      </c>
      <c r="G40" s="86"/>
    </row>
    <row r="41" spans="5:7" s="61" customFormat="1" ht="15" customHeight="1">
      <c r="E41" s="8" t="s">
        <v>37</v>
      </c>
      <c r="F41" s="222">
        <v>0</v>
      </c>
      <c r="G41" s="88"/>
    </row>
    <row r="42" spans="5:7" s="61" customFormat="1" ht="15" customHeight="1">
      <c r="E42" s="182" t="s">
        <v>38</v>
      </c>
      <c r="F42" s="223">
        <f>SUM(F38:F41)</f>
        <v>214653.29</v>
      </c>
      <c r="G42" s="13"/>
    </row>
    <row r="43" spans="5:7" s="61" customFormat="1" ht="15" customHeight="1">
      <c r="E43" s="183"/>
      <c r="F43" s="224"/>
      <c r="G43" s="13"/>
    </row>
    <row r="44" spans="5:7" s="61" customFormat="1" ht="15" customHeight="1">
      <c r="E44" s="114" t="s">
        <v>173</v>
      </c>
      <c r="F44" s="220">
        <v>95000</v>
      </c>
    </row>
    <row r="45" spans="5:7" s="61" customFormat="1" ht="15" customHeight="1">
      <c r="E45" s="114" t="s">
        <v>80</v>
      </c>
      <c r="F45" s="220">
        <v>0</v>
      </c>
    </row>
    <row r="46" spans="5:7" s="61" customFormat="1" ht="15" customHeight="1">
      <c r="E46" s="114" t="s">
        <v>81</v>
      </c>
      <c r="F46" s="220">
        <f>38730+1177+484744+5825</f>
        <v>530476</v>
      </c>
      <c r="G46" s="166"/>
    </row>
    <row r="47" spans="5:7" s="61" customFormat="1" ht="15" customHeight="1">
      <c r="E47" s="116" t="s">
        <v>24</v>
      </c>
      <c r="F47" s="220">
        <v>0</v>
      </c>
    </row>
    <row r="48" spans="5:7" s="61" customFormat="1" ht="15" customHeight="1">
      <c r="E48" s="116" t="s">
        <v>39</v>
      </c>
      <c r="F48" s="220">
        <v>2000</v>
      </c>
    </row>
    <row r="49" spans="5:6" s="61" customFormat="1">
      <c r="E49" s="116" t="s">
        <v>22</v>
      </c>
      <c r="F49" s="220">
        <v>150000</v>
      </c>
    </row>
    <row r="50" spans="5:6" s="61" customFormat="1">
      <c r="E50" s="116" t="s">
        <v>40</v>
      </c>
      <c r="F50" s="220">
        <v>45000</v>
      </c>
    </row>
    <row r="51" spans="5:6" s="61" customFormat="1">
      <c r="E51" s="118" t="s">
        <v>41</v>
      </c>
      <c r="F51" s="225">
        <f>SUM(F44:F50)</f>
        <v>822476</v>
      </c>
    </row>
    <row r="52" spans="5:6" s="61" customFormat="1">
      <c r="E52" s="118" t="s">
        <v>42</v>
      </c>
      <c r="F52" s="225">
        <f>F42-F51</f>
        <v>-607822.71</v>
      </c>
    </row>
    <row r="53" spans="5:6" s="61" customFormat="1">
      <c r="E53" s="82"/>
      <c r="F53" s="221"/>
    </row>
    <row r="54" spans="5:6" s="61" customFormat="1">
      <c r="E54" s="82" t="s">
        <v>43</v>
      </c>
      <c r="F54" s="221">
        <f>43800+180000</f>
        <v>223800</v>
      </c>
    </row>
    <row r="55" spans="5:6" s="61" customFormat="1">
      <c r="E55" s="82" t="s">
        <v>44</v>
      </c>
      <c r="F55" s="221">
        <f>100000+350000-20000-40000</f>
        <v>390000</v>
      </c>
    </row>
    <row r="56" spans="5:6" s="61" customFormat="1">
      <c r="E56" s="82" t="s">
        <v>91</v>
      </c>
      <c r="F56" s="226">
        <v>60038.13</v>
      </c>
    </row>
    <row r="57" spans="5:6" s="61" customFormat="1">
      <c r="E57" s="118" t="s">
        <v>46</v>
      </c>
      <c r="F57" s="227">
        <f>SUM(F54:F56)</f>
        <v>673838.13</v>
      </c>
    </row>
    <row r="58" spans="5:6" s="61" customFormat="1">
      <c r="E58" s="82"/>
      <c r="F58" s="221"/>
    </row>
    <row r="59" spans="5:6" s="61" customFormat="1">
      <c r="E59" s="118" t="s">
        <v>47</v>
      </c>
      <c r="F59" s="227">
        <f>F52-F57</f>
        <v>-1281660.8399999999</v>
      </c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6:H26"/>
    <mergeCell ref="B29:D29"/>
    <mergeCell ref="B30:D30"/>
    <mergeCell ref="B16:D16"/>
    <mergeCell ref="B17:D17"/>
    <mergeCell ref="B18:D18"/>
    <mergeCell ref="B19:D19"/>
    <mergeCell ref="G20:H20"/>
    <mergeCell ref="G24:K24"/>
  </mergeCells>
  <pageMargins left="0.7" right="0.7" top="0.75" bottom="0.75" header="0.3" footer="0.3"/>
  <drawing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9808B-DD0B-43B3-B8D3-F1D28CDB28BA}">
  <dimension ref="B6:P63"/>
  <sheetViews>
    <sheetView showGridLines="0" topLeftCell="A35" workbookViewId="0">
      <selection activeCell="A35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2:11">
      <c r="B7" s="1"/>
      <c r="C7" s="1"/>
      <c r="D7" s="1"/>
      <c r="E7" s="1"/>
      <c r="F7" s="215"/>
      <c r="G7" s="1"/>
      <c r="H7" s="1"/>
      <c r="I7" s="1"/>
      <c r="J7" s="76"/>
      <c r="K7" s="1"/>
    </row>
    <row r="8" spans="2:11">
      <c r="B8" s="1"/>
      <c r="C8" s="1"/>
      <c r="D8" s="1"/>
      <c r="E8" s="1"/>
      <c r="F8" s="215"/>
      <c r="G8" s="1"/>
      <c r="H8" s="1"/>
      <c r="I8" s="4"/>
      <c r="J8" s="76"/>
      <c r="K8" s="76"/>
    </row>
    <row r="9" spans="2:11">
      <c r="B9" s="1"/>
      <c r="C9" s="1"/>
      <c r="D9" s="1"/>
      <c r="E9" s="1"/>
      <c r="F9" s="215"/>
      <c r="G9" s="1"/>
      <c r="H9" s="1"/>
      <c r="I9" s="4"/>
      <c r="J9" s="76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2:11" ht="15" thickBot="1"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2:11" ht="18" thickBot="1">
      <c r="B12" s="331" t="s">
        <v>2</v>
      </c>
      <c r="C12" s="332"/>
      <c r="D12" s="332"/>
      <c r="E12" s="333"/>
      <c r="F12" s="217"/>
      <c r="G12" s="1"/>
      <c r="H12" s="1"/>
      <c r="I12" s="1"/>
      <c r="J12" s="76"/>
      <c r="K12" s="1"/>
    </row>
    <row r="13" spans="2:11" ht="18" thickBot="1">
      <c r="B13" s="1"/>
      <c r="C13" s="1"/>
      <c r="D13" s="1"/>
      <c r="E13" s="1"/>
      <c r="F13" s="150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218322.24</v>
      </c>
      <c r="F14" s="150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152317.32</v>
      </c>
      <c r="F15" s="150">
        <f>E15+E16+E17</f>
        <v>218322.24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22994.989999999998</v>
      </c>
      <c r="F16" s="150">
        <v>90000</v>
      </c>
      <c r="G16" s="22">
        <v>19482.59</v>
      </c>
      <c r="H16" s="23" t="s">
        <v>8</v>
      </c>
      <c r="I16" s="24"/>
      <c r="J16" s="25">
        <v>14238.46</v>
      </c>
      <c r="K16" s="26" t="s">
        <v>9</v>
      </c>
    </row>
    <row r="17" spans="2:13">
      <c r="B17" s="352" t="s">
        <v>6</v>
      </c>
      <c r="C17" s="353"/>
      <c r="D17" s="354"/>
      <c r="E17" s="28">
        <f>G16+G17+G18</f>
        <v>43009.93</v>
      </c>
      <c r="F17" s="150">
        <f>F15-F16</f>
        <v>128322.23999999999</v>
      </c>
      <c r="G17" s="22">
        <v>9841.7999999999993</v>
      </c>
      <c r="H17" s="29" t="s">
        <v>10</v>
      </c>
      <c r="I17" s="30"/>
      <c r="J17" s="25">
        <v>24848.38</v>
      </c>
      <c r="K17" s="31" t="s">
        <v>10</v>
      </c>
      <c r="L17" s="13"/>
    </row>
    <row r="18" spans="2:13">
      <c r="B18" s="355" t="s">
        <v>11</v>
      </c>
      <c r="C18" s="356"/>
      <c r="D18" s="357"/>
      <c r="E18" s="20">
        <f>G28+G30+G29+G27</f>
        <v>129728.19</v>
      </c>
      <c r="F18" s="150"/>
      <c r="G18" s="22">
        <v>13685.54</v>
      </c>
      <c r="H18" s="29" t="s">
        <v>12</v>
      </c>
      <c r="I18" s="30"/>
      <c r="J18" s="25">
        <v>104201.84</v>
      </c>
      <c r="K18" s="31" t="s">
        <v>12</v>
      </c>
      <c r="L18" s="32"/>
    </row>
    <row r="19" spans="2:13">
      <c r="B19" s="344" t="s">
        <v>13</v>
      </c>
      <c r="C19" s="345"/>
      <c r="D19" s="346"/>
      <c r="E19" s="20">
        <v>18885122.75</v>
      </c>
      <c r="F19" s="150"/>
      <c r="G19" s="33"/>
      <c r="H19" s="34"/>
      <c r="I19" s="30"/>
      <c r="J19" s="25">
        <v>9028.64</v>
      </c>
      <c r="K19" s="31" t="s">
        <v>14</v>
      </c>
      <c r="L19" s="13"/>
      <c r="M19" t="s">
        <v>20</v>
      </c>
    </row>
    <row r="20" spans="2:13">
      <c r="B20" s="187" t="s">
        <v>15</v>
      </c>
      <c r="C20" s="188"/>
      <c r="D20" s="189"/>
      <c r="E20" s="190">
        <f>SUM(E21:E23)</f>
        <v>0</v>
      </c>
      <c r="F20" s="150"/>
      <c r="G20" s="361" t="s">
        <v>16</v>
      </c>
      <c r="H20" s="362"/>
      <c r="I20" s="36"/>
      <c r="J20" s="37"/>
      <c r="K20" s="38"/>
      <c r="L20" s="39"/>
    </row>
    <row r="21" spans="2:13">
      <c r="B21" s="187"/>
      <c r="C21" s="188"/>
      <c r="D21" s="198"/>
      <c r="E21" s="190">
        <v>0</v>
      </c>
      <c r="F21" s="150">
        <f>SUM(E24:E30)</f>
        <v>400500</v>
      </c>
      <c r="G21" s="44">
        <v>10365.48</v>
      </c>
      <c r="H21" s="29" t="s">
        <v>10</v>
      </c>
      <c r="I21" s="30"/>
      <c r="J21" s="37"/>
      <c r="K21" s="45"/>
      <c r="L21" s="39"/>
    </row>
    <row r="22" spans="2:13">
      <c r="B22" s="187"/>
      <c r="C22" s="188"/>
      <c r="D22" s="198"/>
      <c r="E22" s="190">
        <v>0</v>
      </c>
      <c r="F22" s="150">
        <f>+F17-F21</f>
        <v>-272177.76</v>
      </c>
      <c r="G22" s="44">
        <v>12629.51</v>
      </c>
      <c r="H22" s="29" t="s">
        <v>18</v>
      </c>
      <c r="I22" s="30"/>
      <c r="J22" s="50"/>
      <c r="K22" s="38"/>
      <c r="L22" s="39"/>
    </row>
    <row r="23" spans="2:13" ht="15" thickBot="1">
      <c r="B23" s="187"/>
      <c r="C23" s="188"/>
      <c r="D23" s="198"/>
      <c r="E23" s="190">
        <v>0</v>
      </c>
      <c r="F23" s="150"/>
      <c r="G23" s="51"/>
      <c r="H23" s="34"/>
      <c r="I23" s="30"/>
      <c r="J23" s="210"/>
      <c r="K23" s="53"/>
      <c r="L23" s="39"/>
    </row>
    <row r="24" spans="2:13" ht="15" thickBot="1">
      <c r="B24" s="46" t="s">
        <v>17</v>
      </c>
      <c r="C24" s="47"/>
      <c r="D24" s="48"/>
      <c r="E24" s="49">
        <v>500</v>
      </c>
      <c r="F24" s="150"/>
      <c r="G24" s="331" t="s">
        <v>21</v>
      </c>
      <c r="H24" s="332"/>
      <c r="I24" s="332"/>
      <c r="J24" s="332"/>
      <c r="K24" s="333"/>
      <c r="L24" s="39"/>
    </row>
    <row r="25" spans="2:13">
      <c r="B25" s="202" t="s">
        <v>81</v>
      </c>
      <c r="C25" s="203"/>
      <c r="D25" s="204"/>
      <c r="E25" s="49">
        <v>0</v>
      </c>
      <c r="F25" s="228"/>
      <c r="G25" s="54"/>
      <c r="H25" s="55"/>
      <c r="I25" s="56"/>
      <c r="J25" s="211"/>
      <c r="K25" s="58"/>
      <c r="L25" s="39"/>
    </row>
    <row r="26" spans="2:13">
      <c r="B26" s="199" t="s">
        <v>163</v>
      </c>
      <c r="C26" s="200"/>
      <c r="D26" s="201"/>
      <c r="E26" s="49">
        <v>0</v>
      </c>
      <c r="F26" s="219"/>
      <c r="G26" s="347" t="s">
        <v>5</v>
      </c>
      <c r="H26" s="348"/>
      <c r="I26" s="59"/>
      <c r="J26" s="60"/>
      <c r="K26" s="45"/>
      <c r="L26" s="61"/>
    </row>
    <row r="27" spans="2:13">
      <c r="B27" s="199" t="s">
        <v>22</v>
      </c>
      <c r="C27" s="200"/>
      <c r="D27" s="201"/>
      <c r="E27" s="49">
        <v>0</v>
      </c>
      <c r="F27" s="219"/>
      <c r="G27" s="22">
        <f>31750.07-11500-8500</f>
        <v>11750.07</v>
      </c>
      <c r="H27" s="62" t="s">
        <v>9</v>
      </c>
      <c r="I27" s="59"/>
      <c r="J27" s="60"/>
      <c r="K27" s="45"/>
      <c r="L27" s="61"/>
    </row>
    <row r="28" spans="2:13">
      <c r="B28" s="199" t="s">
        <v>24</v>
      </c>
      <c r="C28" s="200"/>
      <c r="D28" s="201"/>
      <c r="E28" s="49">
        <v>400000</v>
      </c>
      <c r="F28" s="219"/>
      <c r="G28" s="22">
        <v>34251.89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3">
      <c r="B29" s="344" t="s">
        <v>25</v>
      </c>
      <c r="C29" s="345"/>
      <c r="D29" s="346"/>
      <c r="E29" s="49">
        <v>0</v>
      </c>
      <c r="F29" s="219"/>
      <c r="G29" s="67">
        <v>46616.639999999999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3" ht="15" thickBot="1">
      <c r="B30" s="363" t="s">
        <v>29</v>
      </c>
      <c r="C30" s="364"/>
      <c r="D30" s="365"/>
      <c r="E30" s="66">
        <v>0</v>
      </c>
      <c r="F30" s="219"/>
      <c r="G30" s="71">
        <f>291135.12-254025.53</f>
        <v>37109.589999999997</v>
      </c>
      <c r="H30" s="72" t="s">
        <v>12</v>
      </c>
      <c r="I30" s="73"/>
      <c r="J30" s="74" t="s">
        <v>32</v>
      </c>
      <c r="K30" s="75" t="s">
        <v>33</v>
      </c>
      <c r="L30" s="61"/>
    </row>
    <row r="36" spans="5:7">
      <c r="E36" s="161" t="s">
        <v>174</v>
      </c>
      <c r="F36" s="197"/>
      <c r="G36" s="8"/>
    </row>
    <row r="37" spans="5:7">
      <c r="E37" s="161"/>
      <c r="F37" s="197"/>
      <c r="G37" s="8"/>
    </row>
    <row r="38" spans="5:7" s="61" customFormat="1" ht="15" customHeight="1">
      <c r="E38" s="61" t="s">
        <v>34</v>
      </c>
      <c r="F38" s="197">
        <f>F17</f>
        <v>128322.23999999999</v>
      </c>
      <c r="G38" s="86">
        <v>1659693.86</v>
      </c>
    </row>
    <row r="39" spans="5:7" s="61" customFormat="1" ht="15" customHeight="1">
      <c r="E39" s="61" t="s">
        <v>35</v>
      </c>
      <c r="F39" s="197">
        <f>+E18</f>
        <v>129728.19</v>
      </c>
      <c r="G39" s="86">
        <v>480000</v>
      </c>
    </row>
    <row r="40" spans="5:7" s="61" customFormat="1" ht="15" customHeight="1">
      <c r="E40" s="61" t="s">
        <v>36</v>
      </c>
      <c r="F40" s="197">
        <v>430000</v>
      </c>
      <c r="G40" s="86"/>
    </row>
    <row r="41" spans="5:7" s="61" customFormat="1" ht="15" customHeight="1">
      <c r="E41" s="61" t="s">
        <v>37</v>
      </c>
      <c r="F41" s="197">
        <v>0</v>
      </c>
      <c r="G41" s="88"/>
    </row>
    <row r="42" spans="5:7" s="61" customFormat="1" ht="15" customHeight="1">
      <c r="E42" s="163" t="s">
        <v>38</v>
      </c>
      <c r="F42" s="229">
        <f>SUM(F38:F41)</f>
        <v>688050.42999999993</v>
      </c>
      <c r="G42" s="13"/>
    </row>
    <row r="43" spans="5:7" s="61" customFormat="1" ht="15" customHeight="1">
      <c r="E43" s="165"/>
      <c r="F43" s="230"/>
      <c r="G43" s="13"/>
    </row>
    <row r="44" spans="5:7" s="61" customFormat="1" ht="15" customHeight="1">
      <c r="E44" s="165" t="s">
        <v>176</v>
      </c>
      <c r="F44" s="230">
        <v>1350000</v>
      </c>
      <c r="G44" s="13"/>
    </row>
    <row r="45" spans="5:7" s="61" customFormat="1" ht="15" customHeight="1">
      <c r="E45" s="165" t="s">
        <v>177</v>
      </c>
      <c r="F45" s="230">
        <v>85000</v>
      </c>
      <c r="G45" s="13"/>
    </row>
    <row r="46" spans="5:7" s="61" customFormat="1" ht="15" customHeight="1">
      <c r="E46" s="165" t="s">
        <v>83</v>
      </c>
      <c r="F46" s="230">
        <v>65000</v>
      </c>
      <c r="G46" s="13"/>
    </row>
    <row r="47" spans="5:7" s="61" customFormat="1" ht="15" customHeight="1">
      <c r="E47" s="165" t="s">
        <v>175</v>
      </c>
      <c r="F47" s="230">
        <v>95000</v>
      </c>
      <c r="G47" s="13"/>
    </row>
    <row r="48" spans="5:7" s="61" customFormat="1" ht="15" customHeight="1">
      <c r="E48" s="89" t="s">
        <v>105</v>
      </c>
      <c r="F48" s="219">
        <v>55000</v>
      </c>
    </row>
    <row r="49" spans="5:6" s="61" customFormat="1" ht="15" customHeight="1">
      <c r="E49" s="89" t="s">
        <v>69</v>
      </c>
      <c r="F49" s="219">
        <v>60000</v>
      </c>
    </row>
    <row r="50" spans="5:6" s="61" customFormat="1" ht="15" customHeight="1">
      <c r="E50" s="89" t="s">
        <v>81</v>
      </c>
      <c r="F50" s="219">
        <f>38730+1177+484744+5825</f>
        <v>530476</v>
      </c>
    </row>
    <row r="51" spans="5:6" s="61" customFormat="1" ht="15" customHeight="1">
      <c r="E51" s="91" t="s">
        <v>24</v>
      </c>
      <c r="F51" s="219">
        <f>100000+209602.46+65000</f>
        <v>374602.45999999996</v>
      </c>
    </row>
    <row r="52" spans="5:6" s="61" customFormat="1" ht="15" customHeight="1">
      <c r="E52" s="91" t="s">
        <v>39</v>
      </c>
      <c r="F52" s="219">
        <v>2000</v>
      </c>
    </row>
    <row r="53" spans="5:6" s="61" customFormat="1">
      <c r="E53" s="91" t="s">
        <v>22</v>
      </c>
      <c r="F53" s="219">
        <v>150000</v>
      </c>
    </row>
    <row r="54" spans="5:6" s="61" customFormat="1">
      <c r="E54" s="91" t="s">
        <v>40</v>
      </c>
      <c r="F54" s="219">
        <v>50000</v>
      </c>
    </row>
    <row r="55" spans="5:6" s="61" customFormat="1">
      <c r="E55" s="96" t="s">
        <v>41</v>
      </c>
      <c r="F55" s="231">
        <f>SUM(F44:F54)</f>
        <v>2817078.46</v>
      </c>
    </row>
    <row r="56" spans="5:6" s="61" customFormat="1">
      <c r="E56" s="96" t="s">
        <v>42</v>
      </c>
      <c r="F56" s="231">
        <f>F42-F55</f>
        <v>-2129028.0300000003</v>
      </c>
    </row>
    <row r="57" spans="5:6" s="61" customFormat="1">
      <c r="E57" s="83"/>
      <c r="F57" s="228"/>
    </row>
    <row r="58" spans="5:6" s="61" customFormat="1">
      <c r="E58" s="83" t="s">
        <v>43</v>
      </c>
      <c r="F58" s="228">
        <f>43800+180000</f>
        <v>223800</v>
      </c>
    </row>
    <row r="59" spans="5:6" s="61" customFormat="1">
      <c r="E59" s="83" t="s">
        <v>44</v>
      </c>
      <c r="F59" s="228">
        <f>100000+350000-20000-40000</f>
        <v>390000</v>
      </c>
    </row>
    <row r="60" spans="5:6" s="61" customFormat="1">
      <c r="E60" s="83" t="s">
        <v>91</v>
      </c>
      <c r="F60" s="232">
        <v>60152.49</v>
      </c>
    </row>
    <row r="61" spans="5:6" s="61" customFormat="1">
      <c r="E61" s="96" t="s">
        <v>46</v>
      </c>
      <c r="F61" s="233">
        <f>SUM(F58:F60)</f>
        <v>673952.49</v>
      </c>
    </row>
    <row r="62" spans="5:6" s="61" customFormat="1">
      <c r="E62" s="83"/>
      <c r="F62" s="228"/>
    </row>
    <row r="63" spans="5:6" s="61" customFormat="1">
      <c r="E63" s="96" t="s">
        <v>47</v>
      </c>
      <c r="F63" s="233">
        <f>F56-F61</f>
        <v>-2802980.5200000005</v>
      </c>
    </row>
  </sheetData>
  <mergeCells count="16">
    <mergeCell ref="G26:H26"/>
    <mergeCell ref="B29:D29"/>
    <mergeCell ref="B30:D30"/>
    <mergeCell ref="B16:D16"/>
    <mergeCell ref="B17:D17"/>
    <mergeCell ref="B18:D18"/>
    <mergeCell ref="B19:D19"/>
    <mergeCell ref="G20:H20"/>
    <mergeCell ref="G24:K24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00596-3F21-453F-82E5-63C9E99477E2}">
  <dimension ref="B6:P63"/>
  <sheetViews>
    <sheetView showGridLines="0" topLeftCell="C22" workbookViewId="0">
      <selection activeCell="C22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5" s="8" customFormat="1" ht="18"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  <c r="O6" s="9"/>
    </row>
    <row r="7" spans="2:15">
      <c r="B7" s="1"/>
      <c r="C7" s="1"/>
      <c r="D7" s="1"/>
      <c r="E7" s="1"/>
      <c r="F7" s="215"/>
      <c r="G7" s="1"/>
      <c r="H7" s="1"/>
      <c r="I7" s="1"/>
      <c r="J7" s="76"/>
      <c r="K7" s="1"/>
    </row>
    <row r="8" spans="2:15">
      <c r="B8" s="1"/>
      <c r="C8" s="1"/>
      <c r="D8" s="1"/>
      <c r="E8" s="1"/>
      <c r="F8" s="215"/>
      <c r="G8" s="1"/>
      <c r="H8" s="1"/>
      <c r="I8" s="4"/>
      <c r="J8" s="76"/>
      <c r="K8" s="76"/>
      <c r="N8" s="235">
        <v>62484.25</v>
      </c>
      <c r="O8" s="3">
        <v>29095.8</v>
      </c>
    </row>
    <row r="9" spans="2:15">
      <c r="B9" s="1"/>
      <c r="C9" s="1"/>
      <c r="D9" s="1"/>
      <c r="E9" s="1"/>
      <c r="F9" s="215"/>
      <c r="G9" s="1"/>
      <c r="H9" s="1"/>
      <c r="I9" s="4"/>
      <c r="J9" s="76"/>
      <c r="K9" s="1"/>
      <c r="O9" s="3">
        <v>19523.400000000001</v>
      </c>
    </row>
    <row r="10" spans="2:15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  <c r="O10" s="3">
        <v>13856.03</v>
      </c>
    </row>
    <row r="11" spans="2:15" ht="15" thickBot="1">
      <c r="B11" s="1"/>
      <c r="C11" s="1"/>
      <c r="D11" s="1"/>
      <c r="E11" s="1"/>
      <c r="F11" s="215"/>
      <c r="G11" s="1"/>
      <c r="H11" s="1"/>
      <c r="I11" s="1"/>
      <c r="J11" s="76"/>
      <c r="K11" s="1"/>
      <c r="O11" s="3">
        <f>SUM(O8:O10)</f>
        <v>62475.229999999996</v>
      </c>
    </row>
    <row r="12" spans="2:15" ht="18" thickBot="1">
      <c r="B12" s="331" t="s">
        <v>2</v>
      </c>
      <c r="C12" s="332"/>
      <c r="D12" s="332"/>
      <c r="E12" s="333"/>
      <c r="F12" s="217"/>
      <c r="G12" s="1"/>
      <c r="H12" s="1"/>
      <c r="I12" s="1"/>
      <c r="J12" s="76"/>
      <c r="K12" s="1"/>
      <c r="L12" s="13"/>
      <c r="O12" s="3">
        <f>+N8-O11</f>
        <v>9.0200000000040745</v>
      </c>
    </row>
    <row r="13" spans="2:15" ht="18" thickBot="1">
      <c r="B13" s="1"/>
      <c r="C13" s="1"/>
      <c r="D13" s="1"/>
      <c r="E13" s="1"/>
      <c r="F13" s="150"/>
      <c r="G13" s="11"/>
      <c r="H13" s="11"/>
      <c r="I13" s="11"/>
      <c r="J13" s="15"/>
      <c r="K13" s="16"/>
      <c r="L13" s="13"/>
    </row>
    <row r="14" spans="2:15" ht="15" thickBot="1">
      <c r="B14" s="334" t="s">
        <v>3</v>
      </c>
      <c r="C14" s="335"/>
      <c r="D14" s="336"/>
      <c r="E14" s="17">
        <f>SUM(E15:E17)</f>
        <v>2116797.2400000002</v>
      </c>
      <c r="F14" s="150"/>
      <c r="G14" s="331" t="s">
        <v>4</v>
      </c>
      <c r="H14" s="332"/>
      <c r="I14" s="332"/>
      <c r="J14" s="332"/>
      <c r="K14" s="333"/>
      <c r="L14" s="19"/>
      <c r="N14" s="156"/>
    </row>
    <row r="15" spans="2:15">
      <c r="B15" s="337" t="s">
        <v>5</v>
      </c>
      <c r="C15" s="338"/>
      <c r="D15" s="339"/>
      <c r="E15" s="20">
        <f>J16+J17+J18+J19</f>
        <v>1963994.11</v>
      </c>
      <c r="F15" s="153">
        <f>E15+E16+E17</f>
        <v>2116797.2400000002</v>
      </c>
      <c r="G15" s="340" t="s">
        <v>6</v>
      </c>
      <c r="H15" s="341"/>
      <c r="I15" s="21"/>
      <c r="J15" s="342" t="s">
        <v>5</v>
      </c>
      <c r="K15" s="343"/>
      <c r="L15" s="13"/>
    </row>
    <row r="16" spans="2:15">
      <c r="B16" s="349" t="s">
        <v>7</v>
      </c>
      <c r="C16" s="350"/>
      <c r="D16" s="351"/>
      <c r="E16" s="20">
        <f>G21+G22</f>
        <v>22994.989999999998</v>
      </c>
      <c r="F16" s="153">
        <v>90000</v>
      </c>
      <c r="G16" s="22">
        <v>19482.59</v>
      </c>
      <c r="H16" s="23" t="s">
        <v>8</v>
      </c>
      <c r="I16" s="24"/>
      <c r="J16" s="25">
        <v>14238.46</v>
      </c>
      <c r="K16" s="26" t="s">
        <v>9</v>
      </c>
      <c r="L16" s="13"/>
      <c r="N16" s="155"/>
    </row>
    <row r="17" spans="2:16">
      <c r="B17" s="352" t="s">
        <v>6</v>
      </c>
      <c r="C17" s="353"/>
      <c r="D17" s="354"/>
      <c r="E17" s="28">
        <f>G16+G17+G18</f>
        <v>129808.14</v>
      </c>
      <c r="F17" s="153">
        <f>F15-F16</f>
        <v>2026797.2400000002</v>
      </c>
      <c r="G17" s="22">
        <v>12924.71</v>
      </c>
      <c r="H17" s="29" t="s">
        <v>10</v>
      </c>
      <c r="I17" s="30"/>
      <c r="J17" s="25">
        <v>14848.38</v>
      </c>
      <c r="K17" s="31" t="s">
        <v>10</v>
      </c>
      <c r="L17" s="13"/>
    </row>
    <row r="18" spans="2:16">
      <c r="B18" s="355" t="s">
        <v>11</v>
      </c>
      <c r="C18" s="356"/>
      <c r="D18" s="357"/>
      <c r="E18" s="20">
        <f>G28+G30+G29+G27</f>
        <v>54809.72</v>
      </c>
      <c r="F18" s="153"/>
      <c r="G18" s="22">
        <v>97400.84</v>
      </c>
      <c r="H18" s="29" t="s">
        <v>12</v>
      </c>
      <c r="I18" s="30"/>
      <c r="J18" s="25">
        <f>11834.75+1900000</f>
        <v>1911834.75</v>
      </c>
      <c r="K18" s="31" t="s">
        <v>12</v>
      </c>
      <c r="L18" s="32"/>
      <c r="O18" s="3">
        <v>7022</v>
      </c>
    </row>
    <row r="19" spans="2:16">
      <c r="B19" s="344" t="s">
        <v>13</v>
      </c>
      <c r="C19" s="345"/>
      <c r="D19" s="346"/>
      <c r="E19" s="20">
        <f>18885122.75-E20</f>
        <v>18800587.449999999</v>
      </c>
      <c r="F19" s="153"/>
      <c r="G19" s="33"/>
      <c r="H19" s="34"/>
      <c r="I19" s="30"/>
      <c r="J19" s="25">
        <v>23072.52</v>
      </c>
      <c r="K19" s="31" t="s">
        <v>14</v>
      </c>
      <c r="L19" s="13"/>
      <c r="M19" t="s">
        <v>20</v>
      </c>
      <c r="O19" s="3">
        <v>337603.65</v>
      </c>
    </row>
    <row r="20" spans="2:16">
      <c r="B20" s="187" t="s">
        <v>15</v>
      </c>
      <c r="C20" s="188"/>
      <c r="D20" s="189"/>
      <c r="E20" s="190">
        <f>SUM(E21:E22)</f>
        <v>84535.3</v>
      </c>
      <c r="F20" s="153"/>
      <c r="G20" s="361" t="s">
        <v>16</v>
      </c>
      <c r="H20" s="362"/>
      <c r="I20" s="36"/>
      <c r="J20" s="37"/>
      <c r="K20" s="38"/>
      <c r="L20" s="39"/>
      <c r="O20" s="3">
        <v>722011.94</v>
      </c>
    </row>
    <row r="21" spans="2:16">
      <c r="B21" s="187"/>
      <c r="C21" s="188"/>
      <c r="D21" s="198" t="s">
        <v>93</v>
      </c>
      <c r="E21" s="190">
        <v>84535.3</v>
      </c>
      <c r="F21" s="153">
        <f>SUM(E23:E29)</f>
        <v>1585000</v>
      </c>
      <c r="G21" s="44">
        <v>10365.48</v>
      </c>
      <c r="H21" s="29" t="s">
        <v>10</v>
      </c>
      <c r="I21" s="30"/>
      <c r="J21" s="37"/>
      <c r="K21" s="45"/>
      <c r="L21" s="39"/>
      <c r="O21" s="3">
        <v>419437.67</v>
      </c>
    </row>
    <row r="22" spans="2:16">
      <c r="B22" s="206"/>
      <c r="C22" s="205"/>
      <c r="D22" s="208"/>
      <c r="E22" s="190">
        <v>0</v>
      </c>
      <c r="F22" s="153">
        <f>+F17-F21</f>
        <v>441797.24000000022</v>
      </c>
      <c r="G22" s="44">
        <v>12629.51</v>
      </c>
      <c r="H22" s="29" t="s">
        <v>18</v>
      </c>
      <c r="I22" s="30"/>
      <c r="J22" s="50"/>
      <c r="K22" s="38"/>
      <c r="L22" s="39"/>
      <c r="N22" s="235">
        <v>183029.77</v>
      </c>
      <c r="O22" s="3">
        <f>SUM(O18:O21)</f>
        <v>1486075.2599999998</v>
      </c>
      <c r="P22" s="3">
        <v>1657655.42</v>
      </c>
    </row>
    <row r="23" spans="2:16" ht="15" thickBot="1">
      <c r="B23" s="46" t="s">
        <v>17</v>
      </c>
      <c r="C23" s="47"/>
      <c r="D23" s="48"/>
      <c r="E23" s="234">
        <v>0</v>
      </c>
      <c r="F23" s="153"/>
      <c r="G23" s="51"/>
      <c r="H23" s="34"/>
      <c r="I23" s="30"/>
      <c r="J23" s="210"/>
      <c r="K23" s="53"/>
      <c r="L23" s="39"/>
      <c r="N23" s="235">
        <v>179757.54</v>
      </c>
      <c r="O23" s="3">
        <v>1474625.65</v>
      </c>
      <c r="P23" s="3">
        <f>+O23-P22</f>
        <v>-183029.77000000002</v>
      </c>
    </row>
    <row r="24" spans="2:16" ht="15" thickBot="1">
      <c r="B24" s="202" t="s">
        <v>178</v>
      </c>
      <c r="C24" s="203"/>
      <c r="D24" s="204"/>
      <c r="E24" s="49">
        <v>1350000</v>
      </c>
      <c r="F24" s="153"/>
      <c r="G24" s="331" t="s">
        <v>21</v>
      </c>
      <c r="H24" s="332"/>
      <c r="I24" s="332"/>
      <c r="J24" s="332"/>
      <c r="K24" s="333"/>
      <c r="L24" s="39"/>
      <c r="N24" s="235">
        <f>N22-N23</f>
        <v>3272.2299999999814</v>
      </c>
      <c r="O24" s="3">
        <f>O22-O23</f>
        <v>11449.60999999987</v>
      </c>
    </row>
    <row r="25" spans="2:16">
      <c r="B25" s="199" t="s">
        <v>179</v>
      </c>
      <c r="C25" s="200"/>
      <c r="D25" s="201"/>
      <c r="E25" s="49">
        <v>95000</v>
      </c>
      <c r="F25" s="221"/>
      <c r="G25" s="54"/>
      <c r="H25" s="55"/>
      <c r="I25" s="56"/>
      <c r="J25" s="211"/>
      <c r="K25" s="58"/>
      <c r="L25" s="39"/>
    </row>
    <row r="26" spans="2:16">
      <c r="B26" s="199" t="s">
        <v>23</v>
      </c>
      <c r="C26" s="200"/>
      <c r="D26" s="201"/>
      <c r="E26" s="49">
        <v>85000</v>
      </c>
      <c r="F26" s="220"/>
      <c r="G26" s="347" t="s">
        <v>5</v>
      </c>
      <c r="H26" s="348"/>
      <c r="I26" s="59"/>
      <c r="J26" s="60"/>
      <c r="K26" s="45"/>
      <c r="L26" s="61"/>
    </row>
    <row r="27" spans="2:16">
      <c r="B27" s="199" t="s">
        <v>180</v>
      </c>
      <c r="C27" s="200"/>
      <c r="D27" s="201"/>
      <c r="E27" s="49">
        <v>55000</v>
      </c>
      <c r="F27" s="220"/>
      <c r="G27" s="22">
        <f>31753.7-11500-8500</f>
        <v>11753.7</v>
      </c>
      <c r="H27" s="62" t="s">
        <v>9</v>
      </c>
      <c r="I27" s="59"/>
      <c r="J27" s="60"/>
      <c r="K27" s="45"/>
      <c r="L27" s="61"/>
    </row>
    <row r="28" spans="2:16">
      <c r="B28" s="344" t="s">
        <v>25</v>
      </c>
      <c r="C28" s="345"/>
      <c r="D28" s="346"/>
      <c r="E28" s="49">
        <v>0</v>
      </c>
      <c r="F28" s="220"/>
      <c r="G28" s="22">
        <v>4252.28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6" ht="15" thickBot="1">
      <c r="B29" s="363" t="s">
        <v>29</v>
      </c>
      <c r="C29" s="364"/>
      <c r="D29" s="365"/>
      <c r="E29" s="66">
        <v>0</v>
      </c>
      <c r="F29" s="220"/>
      <c r="G29" s="67">
        <v>1616.96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6" ht="15" thickBot="1">
      <c r="E30" s="61"/>
      <c r="F30" s="220"/>
      <c r="G30" s="71">
        <f>291212.31-254025.53</f>
        <v>37186.78</v>
      </c>
      <c r="H30" s="72" t="s">
        <v>12</v>
      </c>
      <c r="I30" s="73"/>
      <c r="J30" s="74" t="s">
        <v>32</v>
      </c>
      <c r="K30" s="75" t="s">
        <v>33</v>
      </c>
      <c r="L30" s="61"/>
    </row>
    <row r="36" spans="5:7">
      <c r="E36" s="161" t="s">
        <v>174</v>
      </c>
      <c r="F36" s="197"/>
      <c r="G36" s="8"/>
    </row>
    <row r="37" spans="5:7">
      <c r="E37" s="161"/>
      <c r="F37" s="197"/>
      <c r="G37" s="8"/>
    </row>
    <row r="38" spans="5:7" s="61" customFormat="1" ht="15" customHeight="1">
      <c r="E38" s="61" t="s">
        <v>34</v>
      </c>
      <c r="F38" s="197">
        <f>F17</f>
        <v>2026797.2400000002</v>
      </c>
      <c r="G38" s="86">
        <v>1659693.86</v>
      </c>
    </row>
    <row r="39" spans="5:7" s="61" customFormat="1" ht="15" customHeight="1">
      <c r="E39" s="61" t="s">
        <v>35</v>
      </c>
      <c r="F39" s="197">
        <f>+E18</f>
        <v>54809.72</v>
      </c>
      <c r="G39" s="86">
        <v>480000</v>
      </c>
    </row>
    <row r="40" spans="5:7" s="61" customFormat="1" ht="15" customHeight="1">
      <c r="E40" s="61" t="s">
        <v>36</v>
      </c>
      <c r="F40" s="197">
        <v>430000</v>
      </c>
      <c r="G40" s="86"/>
    </row>
    <row r="41" spans="5:7" s="61" customFormat="1" ht="15" customHeight="1">
      <c r="E41" s="61" t="s">
        <v>37</v>
      </c>
      <c r="F41" s="197">
        <v>0</v>
      </c>
      <c r="G41" s="88"/>
    </row>
    <row r="42" spans="5:7" s="61" customFormat="1" ht="15" customHeight="1">
      <c r="E42" s="163" t="s">
        <v>38</v>
      </c>
      <c r="F42" s="229">
        <f>SUM(F38:F41)</f>
        <v>2511606.96</v>
      </c>
      <c r="G42" s="13"/>
    </row>
    <row r="43" spans="5:7" s="61" customFormat="1" ht="15" customHeight="1">
      <c r="E43" s="165"/>
      <c r="F43" s="230"/>
      <c r="G43" s="13"/>
    </row>
    <row r="44" spans="5:7" s="61" customFormat="1" ht="15" customHeight="1">
      <c r="E44" s="165" t="s">
        <v>176</v>
      </c>
      <c r="F44" s="230">
        <v>1350000</v>
      </c>
      <c r="G44" s="13"/>
    </row>
    <row r="45" spans="5:7" s="61" customFormat="1" ht="15" customHeight="1">
      <c r="E45" s="165" t="s">
        <v>177</v>
      </c>
      <c r="F45" s="230">
        <v>85000</v>
      </c>
      <c r="G45" s="13"/>
    </row>
    <row r="46" spans="5:7" s="61" customFormat="1" ht="15" customHeight="1">
      <c r="E46" s="165" t="s">
        <v>83</v>
      </c>
      <c r="F46" s="230">
        <v>65000</v>
      </c>
      <c r="G46" s="13"/>
    </row>
    <row r="47" spans="5:7" s="61" customFormat="1" ht="15" customHeight="1">
      <c r="E47" s="165" t="s">
        <v>175</v>
      </c>
      <c r="F47" s="230">
        <v>95000</v>
      </c>
      <c r="G47" s="13"/>
    </row>
    <row r="48" spans="5:7" s="61" customFormat="1" ht="15" customHeight="1">
      <c r="E48" s="89" t="s">
        <v>105</v>
      </c>
      <c r="F48" s="219">
        <v>55000</v>
      </c>
    </row>
    <row r="49" spans="5:6" s="61" customFormat="1" ht="15" customHeight="1">
      <c r="E49" s="89" t="s">
        <v>69</v>
      </c>
      <c r="F49" s="219">
        <v>60000</v>
      </c>
    </row>
    <row r="50" spans="5:6" s="61" customFormat="1" ht="15" customHeight="1">
      <c r="E50" s="89" t="s">
        <v>81</v>
      </c>
      <c r="F50" s="219">
        <f>38730+1177+484744+5825</f>
        <v>530476</v>
      </c>
    </row>
    <row r="51" spans="5:6" s="61" customFormat="1" ht="15" customHeight="1">
      <c r="E51" s="91" t="s">
        <v>24</v>
      </c>
      <c r="F51" s="219">
        <v>0</v>
      </c>
    </row>
    <row r="52" spans="5:6" s="61" customFormat="1" ht="15" customHeight="1">
      <c r="E52" s="91" t="s">
        <v>39</v>
      </c>
      <c r="F52" s="219">
        <v>2000</v>
      </c>
    </row>
    <row r="53" spans="5:6" s="61" customFormat="1">
      <c r="E53" s="91" t="s">
        <v>22</v>
      </c>
      <c r="F53" s="219">
        <v>150000</v>
      </c>
    </row>
    <row r="54" spans="5:6" s="61" customFormat="1">
      <c r="E54" s="91" t="s">
        <v>40</v>
      </c>
      <c r="F54" s="219">
        <v>45000</v>
      </c>
    </row>
    <row r="55" spans="5:6" s="61" customFormat="1">
      <c r="E55" s="96" t="s">
        <v>41</v>
      </c>
      <c r="F55" s="231">
        <f>SUM(F44:F54)</f>
        <v>2437476</v>
      </c>
    </row>
    <row r="56" spans="5:6" s="61" customFormat="1">
      <c r="E56" s="96" t="s">
        <v>42</v>
      </c>
      <c r="F56" s="231">
        <f>F42-F55</f>
        <v>74130.959999999963</v>
      </c>
    </row>
    <row r="57" spans="5:6" s="61" customFormat="1">
      <c r="E57" s="82"/>
      <c r="F57" s="221"/>
    </row>
    <row r="58" spans="5:6" s="61" customFormat="1">
      <c r="E58" s="82" t="s">
        <v>43</v>
      </c>
      <c r="F58" s="221">
        <f>43800+180000</f>
        <v>223800</v>
      </c>
    </row>
    <row r="59" spans="5:6" s="61" customFormat="1">
      <c r="E59" s="82" t="s">
        <v>44</v>
      </c>
      <c r="F59" s="221">
        <f>100000+350000-20000-40000</f>
        <v>390000</v>
      </c>
    </row>
    <row r="60" spans="5:6" s="61" customFormat="1">
      <c r="E60" s="82" t="s">
        <v>91</v>
      </c>
      <c r="F60" s="226">
        <v>230297.13</v>
      </c>
    </row>
    <row r="61" spans="5:6" s="61" customFormat="1">
      <c r="E61" s="118" t="s">
        <v>46</v>
      </c>
      <c r="F61" s="227">
        <f>SUM(F58:F60)</f>
        <v>844097.13</v>
      </c>
    </row>
    <row r="62" spans="5:6" s="61" customFormat="1">
      <c r="E62" s="82"/>
      <c r="F62" s="221"/>
    </row>
    <row r="63" spans="5:6" s="61" customFormat="1">
      <c r="E63" s="118" t="s">
        <v>47</v>
      </c>
      <c r="F63" s="227">
        <f>F56-F61</f>
        <v>-769966.17</v>
      </c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6:H26"/>
    <mergeCell ref="B28:D28"/>
    <mergeCell ref="B29:D29"/>
    <mergeCell ref="B16:D16"/>
    <mergeCell ref="B17:D17"/>
    <mergeCell ref="B18:D18"/>
    <mergeCell ref="B19:D19"/>
    <mergeCell ref="G20:H20"/>
    <mergeCell ref="G24:K24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A2E73-5111-4424-808D-4BEF97EA2B35}">
  <dimension ref="B6:P63"/>
  <sheetViews>
    <sheetView showGridLines="0" topLeftCell="A3" workbookViewId="0">
      <selection activeCell="F34" sqref="F34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2:11">
      <c r="B7" s="1"/>
      <c r="C7" s="1"/>
      <c r="D7" s="1"/>
      <c r="E7" s="1"/>
      <c r="F7" s="215"/>
      <c r="G7" s="1"/>
      <c r="H7" s="1"/>
      <c r="I7" s="1"/>
      <c r="J7" s="76"/>
      <c r="K7" s="1"/>
    </row>
    <row r="8" spans="2:11">
      <c r="B8" s="1"/>
      <c r="C8" s="1"/>
      <c r="D8" s="1"/>
      <c r="E8" s="1"/>
      <c r="F8" s="215"/>
      <c r="G8" s="1"/>
      <c r="H8" s="1"/>
      <c r="I8" s="4"/>
      <c r="J8" s="76"/>
      <c r="K8" s="76"/>
    </row>
    <row r="9" spans="2:11">
      <c r="B9" s="1"/>
      <c r="C9" s="1"/>
      <c r="D9" s="1"/>
      <c r="E9" s="1"/>
      <c r="F9" s="215"/>
      <c r="G9" s="1"/>
      <c r="H9" s="1"/>
      <c r="I9" s="4"/>
      <c r="J9" s="76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2:11" ht="15" thickBot="1"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2:11" ht="18" thickBot="1">
      <c r="B12" s="331" t="s">
        <v>2</v>
      </c>
      <c r="C12" s="332"/>
      <c r="D12" s="332"/>
      <c r="E12" s="333"/>
      <c r="F12" s="217"/>
      <c r="G12" s="1"/>
      <c r="H12" s="1"/>
      <c r="I12" s="1"/>
      <c r="J12" s="76"/>
      <c r="K12" s="1"/>
    </row>
    <row r="13" spans="2:11" ht="18" thickBot="1">
      <c r="B13" s="1"/>
      <c r="C13" s="1"/>
      <c r="D13" s="1"/>
      <c r="E13" s="1"/>
      <c r="F13" s="150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2069145.84</v>
      </c>
      <c r="F14" s="153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1925981.9100000001</v>
      </c>
      <c r="F15" s="153">
        <f>E15+E16+E17</f>
        <v>2069145.84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22994.989999999998</v>
      </c>
      <c r="F16" s="153">
        <v>90000</v>
      </c>
      <c r="G16" s="22">
        <v>11013.19</v>
      </c>
      <c r="H16" s="23" t="s">
        <v>8</v>
      </c>
      <c r="I16" s="24"/>
      <c r="J16" s="25">
        <v>14238.46</v>
      </c>
      <c r="K16" s="26" t="s">
        <v>9</v>
      </c>
    </row>
    <row r="17" spans="2:13">
      <c r="B17" s="352" t="s">
        <v>6</v>
      </c>
      <c r="C17" s="353"/>
      <c r="D17" s="354"/>
      <c r="E17" s="28">
        <f>G16+G17+G18</f>
        <v>120168.94</v>
      </c>
      <c r="F17" s="153">
        <f>F15-F16</f>
        <v>1979145.84</v>
      </c>
      <c r="G17" s="22">
        <v>10222.91</v>
      </c>
      <c r="H17" s="29" t="s">
        <v>10</v>
      </c>
      <c r="I17" s="30"/>
      <c r="J17" s="25">
        <v>47127.54</v>
      </c>
      <c r="K17" s="31" t="s">
        <v>10</v>
      </c>
      <c r="L17" s="13"/>
    </row>
    <row r="18" spans="2:13">
      <c r="B18" s="355" t="s">
        <v>11</v>
      </c>
      <c r="C18" s="356"/>
      <c r="D18" s="357"/>
      <c r="E18" s="20">
        <f>G28+G30+G29+G27</f>
        <v>54890.160000000033</v>
      </c>
      <c r="F18" s="153"/>
      <c r="G18" s="22">
        <v>98932.84</v>
      </c>
      <c r="H18" s="29" t="s">
        <v>12</v>
      </c>
      <c r="I18" s="30"/>
      <c r="J18" s="25">
        <v>1854555.59</v>
      </c>
      <c r="K18" s="31" t="s">
        <v>12</v>
      </c>
      <c r="L18" s="32"/>
    </row>
    <row r="19" spans="2:13">
      <c r="B19" s="344" t="s">
        <v>13</v>
      </c>
      <c r="C19" s="345"/>
      <c r="D19" s="346"/>
      <c r="E19" s="20">
        <f>19558850.65-E20</f>
        <v>19557318.649999999</v>
      </c>
      <c r="F19" s="153"/>
      <c r="G19" s="33"/>
      <c r="H19" s="34"/>
      <c r="I19" s="30"/>
      <c r="J19" s="25">
        <v>10060.32</v>
      </c>
      <c r="K19" s="31" t="s">
        <v>14</v>
      </c>
      <c r="L19" s="13"/>
      <c r="M19" t="s">
        <v>20</v>
      </c>
    </row>
    <row r="20" spans="2:13">
      <c r="B20" s="187" t="s">
        <v>15</v>
      </c>
      <c r="C20" s="188"/>
      <c r="D20" s="189"/>
      <c r="E20" s="190">
        <f>SUM(E21:E22)</f>
        <v>1532</v>
      </c>
      <c r="F20" s="153"/>
      <c r="G20" s="361" t="s">
        <v>16</v>
      </c>
      <c r="H20" s="362"/>
      <c r="I20" s="36"/>
      <c r="J20" s="37"/>
      <c r="K20" s="38"/>
      <c r="L20" s="39"/>
    </row>
    <row r="21" spans="2:13">
      <c r="B21" s="187"/>
      <c r="C21" s="188"/>
      <c r="D21" s="198" t="s">
        <v>181</v>
      </c>
      <c r="E21" s="190">
        <v>1532</v>
      </c>
      <c r="F21" s="153">
        <f>SUM(E23:E29)</f>
        <v>2189446</v>
      </c>
      <c r="G21" s="44">
        <v>10365.48</v>
      </c>
      <c r="H21" s="29" t="s">
        <v>10</v>
      </c>
      <c r="I21" s="30"/>
      <c r="J21" s="37"/>
      <c r="K21" s="45"/>
      <c r="L21" s="39"/>
    </row>
    <row r="22" spans="2:13">
      <c r="B22" s="206"/>
      <c r="C22" s="205"/>
      <c r="D22" s="208"/>
      <c r="E22" s="190">
        <v>0</v>
      </c>
      <c r="F22" s="153">
        <f>+F17-F21</f>
        <v>-210300.15999999992</v>
      </c>
      <c r="G22" s="44">
        <v>12629.51</v>
      </c>
      <c r="H22" s="29" t="s">
        <v>18</v>
      </c>
      <c r="I22" s="30"/>
      <c r="J22" s="50"/>
      <c r="K22" s="38"/>
      <c r="L22" s="39"/>
    </row>
    <row r="23" spans="2:13" ht="15" thickBot="1">
      <c r="B23" s="46" t="s">
        <v>17</v>
      </c>
      <c r="C23" s="47"/>
      <c r="D23" s="48"/>
      <c r="E23" s="234">
        <f>13970+55000</f>
        <v>68970</v>
      </c>
      <c r="F23" s="153"/>
      <c r="G23" s="51"/>
      <c r="H23" s="34"/>
      <c r="I23" s="30"/>
      <c r="J23" s="210"/>
      <c r="K23" s="53"/>
      <c r="L23" s="39"/>
    </row>
    <row r="24" spans="2:13" ht="15" thickBot="1">
      <c r="B24" s="202" t="s">
        <v>178</v>
      </c>
      <c r="C24" s="203"/>
      <c r="D24" s="204"/>
      <c r="E24" s="49">
        <v>1350000</v>
      </c>
      <c r="F24" s="153"/>
      <c r="G24" s="331" t="s">
        <v>21</v>
      </c>
      <c r="H24" s="332"/>
      <c r="I24" s="332"/>
      <c r="J24" s="332"/>
      <c r="K24" s="333"/>
      <c r="L24" s="39"/>
    </row>
    <row r="25" spans="2:13">
      <c r="B25" s="199" t="s">
        <v>179</v>
      </c>
      <c r="C25" s="200"/>
      <c r="D25" s="201"/>
      <c r="E25" s="49">
        <v>95000</v>
      </c>
      <c r="F25" s="221"/>
      <c r="G25" s="54"/>
      <c r="H25" s="55"/>
      <c r="I25" s="56"/>
      <c r="J25" s="211"/>
      <c r="K25" s="58"/>
      <c r="L25" s="39"/>
    </row>
    <row r="26" spans="2:13">
      <c r="B26" s="199" t="s">
        <v>23</v>
      </c>
      <c r="C26" s="200"/>
      <c r="D26" s="201"/>
      <c r="E26" s="49">
        <v>85000</v>
      </c>
      <c r="F26" s="220"/>
      <c r="G26" s="347" t="s">
        <v>5</v>
      </c>
      <c r="H26" s="348"/>
      <c r="I26" s="59"/>
      <c r="J26" s="60"/>
      <c r="K26" s="45"/>
      <c r="L26" s="61"/>
    </row>
    <row r="27" spans="2:13">
      <c r="B27" s="199" t="s">
        <v>81</v>
      </c>
      <c r="C27" s="200"/>
      <c r="D27" s="201"/>
      <c r="E27" s="49">
        <v>530476</v>
      </c>
      <c r="F27" s="220"/>
      <c r="G27" s="22">
        <f>31753.7-11500-8500</f>
        <v>11753.7</v>
      </c>
      <c r="H27" s="62" t="s">
        <v>9</v>
      </c>
      <c r="I27" s="59"/>
      <c r="J27" s="60"/>
      <c r="K27" s="45"/>
      <c r="L27" s="61"/>
    </row>
    <row r="28" spans="2:13">
      <c r="B28" s="344" t="s">
        <v>25</v>
      </c>
      <c r="C28" s="345"/>
      <c r="D28" s="346"/>
      <c r="E28" s="49">
        <v>60000</v>
      </c>
      <c r="F28" s="220"/>
      <c r="G28" s="22">
        <v>4252.67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3" ht="15" thickBot="1">
      <c r="B29" s="363" t="s">
        <v>29</v>
      </c>
      <c r="C29" s="364"/>
      <c r="D29" s="365"/>
      <c r="E29" s="66">
        <v>0</v>
      </c>
      <c r="F29" s="220"/>
      <c r="G29" s="67">
        <v>1617.29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3" ht="15" thickBot="1">
      <c r="E30" s="61"/>
      <c r="F30" s="220"/>
      <c r="G30" s="71">
        <f>291292.03-254025.53</f>
        <v>37266.500000000029</v>
      </c>
      <c r="H30" s="72" t="s">
        <v>12</v>
      </c>
      <c r="I30" s="73"/>
      <c r="J30" s="74" t="s">
        <v>32</v>
      </c>
      <c r="K30" s="75" t="s">
        <v>33</v>
      </c>
      <c r="L30" s="61"/>
    </row>
    <row r="36" spans="5:7">
      <c r="E36" s="181" t="s">
        <v>174</v>
      </c>
      <c r="F36" s="222"/>
      <c r="G36" s="8"/>
    </row>
    <row r="37" spans="5:7">
      <c r="E37" s="181"/>
      <c r="F37" s="222"/>
      <c r="G37" s="8"/>
    </row>
    <row r="38" spans="5:7" s="61" customFormat="1" ht="15" customHeight="1">
      <c r="E38" s="8" t="s">
        <v>34</v>
      </c>
      <c r="F38" s="222">
        <f>F17</f>
        <v>1979145.84</v>
      </c>
      <c r="G38" s="86">
        <v>1659693.86</v>
      </c>
    </row>
    <row r="39" spans="5:7" s="61" customFormat="1" ht="15" customHeight="1">
      <c r="E39" s="8" t="s">
        <v>35</v>
      </c>
      <c r="F39" s="222">
        <f>+E18</f>
        <v>54890.160000000033</v>
      </c>
      <c r="G39" s="86">
        <v>480000</v>
      </c>
    </row>
    <row r="40" spans="5:7" s="61" customFormat="1" ht="15" customHeight="1">
      <c r="E40" s="8" t="s">
        <v>36</v>
      </c>
      <c r="F40" s="222">
        <f>430000-170000</f>
        <v>260000</v>
      </c>
      <c r="G40" s="86"/>
    </row>
    <row r="41" spans="5:7" s="61" customFormat="1" ht="15" customHeight="1">
      <c r="E41" s="8" t="s">
        <v>37</v>
      </c>
      <c r="F41" s="222">
        <v>0</v>
      </c>
      <c r="G41" s="88"/>
    </row>
    <row r="42" spans="5:7" s="61" customFormat="1" ht="15" customHeight="1">
      <c r="E42" s="182" t="s">
        <v>38</v>
      </c>
      <c r="F42" s="223">
        <f>SUM(F38:F41)</f>
        <v>2294036</v>
      </c>
      <c r="G42" s="13"/>
    </row>
    <row r="43" spans="5:7" s="61" customFormat="1" ht="15" customHeight="1">
      <c r="E43" s="183"/>
      <c r="F43" s="224"/>
      <c r="G43" s="13"/>
    </row>
    <row r="44" spans="5:7" s="61" customFormat="1" ht="15" customHeight="1">
      <c r="E44" s="183" t="s">
        <v>176</v>
      </c>
      <c r="F44" s="224">
        <v>1350000</v>
      </c>
      <c r="G44" s="13"/>
    </row>
    <row r="45" spans="5:7" s="61" customFormat="1" ht="15" customHeight="1">
      <c r="E45" s="183" t="s">
        <v>177</v>
      </c>
      <c r="F45" s="224">
        <v>85000</v>
      </c>
      <c r="G45" s="13"/>
    </row>
    <row r="46" spans="5:7" s="61" customFormat="1" ht="15" customHeight="1">
      <c r="E46" s="183" t="s">
        <v>83</v>
      </c>
      <c r="F46" s="224">
        <v>0</v>
      </c>
      <c r="G46" s="13"/>
    </row>
    <row r="47" spans="5:7" s="61" customFormat="1" ht="15" customHeight="1">
      <c r="E47" s="183" t="s">
        <v>175</v>
      </c>
      <c r="F47" s="224">
        <v>95000</v>
      </c>
      <c r="G47" s="13"/>
    </row>
    <row r="48" spans="5:7" s="61" customFormat="1" ht="15" customHeight="1">
      <c r="E48" s="114" t="s">
        <v>105</v>
      </c>
      <c r="F48" s="220">
        <v>55000</v>
      </c>
    </row>
    <row r="49" spans="5:6" s="61" customFormat="1" ht="15" customHeight="1">
      <c r="E49" s="114" t="s">
        <v>69</v>
      </c>
      <c r="F49" s="220">
        <v>60000</v>
      </c>
    </row>
    <row r="50" spans="5:6" s="61" customFormat="1" ht="15" customHeight="1">
      <c r="E50" s="114" t="s">
        <v>81</v>
      </c>
      <c r="F50" s="220">
        <f>38730+1177+484744+5825</f>
        <v>530476</v>
      </c>
    </row>
    <row r="51" spans="5:6" s="61" customFormat="1" ht="15" customHeight="1">
      <c r="E51" s="116" t="s">
        <v>24</v>
      </c>
      <c r="F51" s="220">
        <v>0</v>
      </c>
    </row>
    <row r="52" spans="5:6" s="61" customFormat="1" ht="15" customHeight="1">
      <c r="E52" s="116" t="s">
        <v>39</v>
      </c>
      <c r="F52" s="220">
        <v>2000</v>
      </c>
    </row>
    <row r="53" spans="5:6" s="61" customFormat="1">
      <c r="E53" s="116" t="s">
        <v>22</v>
      </c>
      <c r="F53" s="220">
        <v>0</v>
      </c>
    </row>
    <row r="54" spans="5:6" s="61" customFormat="1">
      <c r="E54" s="116" t="s">
        <v>40</v>
      </c>
      <c r="F54" s="220">
        <v>45000</v>
      </c>
    </row>
    <row r="55" spans="5:6" s="61" customFormat="1">
      <c r="E55" s="118" t="s">
        <v>41</v>
      </c>
      <c r="F55" s="225">
        <f>SUM(F44:F54)</f>
        <v>2222476</v>
      </c>
    </row>
    <row r="56" spans="5:6" s="61" customFormat="1">
      <c r="E56" s="118" t="s">
        <v>42</v>
      </c>
      <c r="F56" s="225">
        <f>F42-F55</f>
        <v>71560</v>
      </c>
    </row>
    <row r="57" spans="5:6" s="61" customFormat="1">
      <c r="E57" s="82"/>
      <c r="F57" s="221"/>
    </row>
    <row r="58" spans="5:6" s="61" customFormat="1">
      <c r="E58" s="82" t="s">
        <v>43</v>
      </c>
      <c r="F58" s="221">
        <f>43800+180000</f>
        <v>223800</v>
      </c>
    </row>
    <row r="59" spans="5:6" s="61" customFormat="1">
      <c r="E59" s="82" t="s">
        <v>44</v>
      </c>
      <c r="F59" s="221">
        <f>100000+350000-20000-40000</f>
        <v>390000</v>
      </c>
    </row>
    <row r="60" spans="5:6" s="61" customFormat="1">
      <c r="E60" s="82" t="s">
        <v>91</v>
      </c>
      <c r="F60" s="226">
        <v>230297.13</v>
      </c>
    </row>
    <row r="61" spans="5:6" s="61" customFormat="1">
      <c r="E61" s="118" t="s">
        <v>46</v>
      </c>
      <c r="F61" s="227">
        <f>SUM(F58:F60)</f>
        <v>844097.13</v>
      </c>
    </row>
    <row r="62" spans="5:6" s="61" customFormat="1">
      <c r="E62" s="82"/>
      <c r="F62" s="221"/>
    </row>
    <row r="63" spans="5:6" s="61" customFormat="1">
      <c r="E63" s="118" t="s">
        <v>47</v>
      </c>
      <c r="F63" s="227">
        <f>F56-F61</f>
        <v>-772537.13</v>
      </c>
    </row>
  </sheetData>
  <mergeCells count="16">
    <mergeCell ref="G26:H26"/>
    <mergeCell ref="B28:D28"/>
    <mergeCell ref="B29:D29"/>
    <mergeCell ref="B16:D16"/>
    <mergeCell ref="B17:D17"/>
    <mergeCell ref="B18:D18"/>
    <mergeCell ref="B19:D19"/>
    <mergeCell ref="G20:H20"/>
    <mergeCell ref="G24:K24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05CC9-389B-4C24-B7DD-D8F6E97CBB65}">
  <dimension ref="B6:P61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79" customWidth="1"/>
    <col min="7" max="7" width="15.7265625" customWidth="1"/>
    <col min="8" max="8" width="19.7265625" customWidth="1"/>
    <col min="9" max="9" width="1.453125" customWidth="1"/>
    <col min="10" max="10" width="24.26953125" customWidth="1"/>
    <col min="11" max="11" width="22.26953125" bestFit="1" customWidth="1"/>
    <col min="12" max="12" width="20.26953125" bestFit="1" customWidth="1"/>
    <col min="13" max="13" width="16.269531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3" s="8" customFormat="1" ht="18">
      <c r="B6" s="5"/>
      <c r="C6" s="5"/>
      <c r="D6" s="5"/>
      <c r="E6" s="6" t="s">
        <v>0</v>
      </c>
      <c r="F6" s="7"/>
      <c r="G6" s="5"/>
      <c r="H6" s="5"/>
      <c r="I6" s="5"/>
      <c r="J6" s="5"/>
      <c r="K6" s="5"/>
    </row>
    <row r="7" spans="2:13">
      <c r="B7" s="1"/>
      <c r="C7" s="1"/>
      <c r="D7" s="1"/>
      <c r="E7" s="1"/>
      <c r="F7" s="2"/>
      <c r="G7" s="1"/>
      <c r="H7" s="1"/>
      <c r="I7" s="1"/>
      <c r="J7" s="1"/>
      <c r="K7" s="1"/>
    </row>
    <row r="8" spans="2:13">
      <c r="B8" s="1"/>
      <c r="C8" s="1"/>
      <c r="D8" s="1"/>
      <c r="E8" s="1"/>
      <c r="F8" s="2"/>
      <c r="G8" s="1"/>
      <c r="H8" s="1"/>
      <c r="I8" s="4"/>
      <c r="J8" s="1"/>
      <c r="K8" s="1"/>
    </row>
    <row r="9" spans="2:13">
      <c r="B9" s="1"/>
      <c r="C9" s="1"/>
      <c r="D9" s="1"/>
      <c r="E9" s="1"/>
      <c r="F9" s="2"/>
      <c r="G9" s="1"/>
      <c r="H9" s="1"/>
      <c r="I9" s="4"/>
      <c r="J9" s="1"/>
      <c r="K9" s="1"/>
    </row>
    <row r="10" spans="2:13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3" ht="15" thickBot="1">
      <c r="B11" s="1"/>
      <c r="C11" s="1"/>
      <c r="D11" s="1"/>
      <c r="E11" s="1"/>
      <c r="F11" s="2"/>
      <c r="G11" s="1"/>
      <c r="H11" s="1"/>
      <c r="I11" s="1"/>
      <c r="J11" s="1"/>
      <c r="K11" s="1"/>
    </row>
    <row r="12" spans="2:13" ht="18" thickBot="1">
      <c r="B12" s="331" t="s">
        <v>2</v>
      </c>
      <c r="C12" s="332"/>
      <c r="D12" s="332"/>
      <c r="E12" s="333"/>
      <c r="F12" s="12"/>
      <c r="G12" s="1"/>
      <c r="H12" s="1"/>
      <c r="I12" s="1"/>
      <c r="J12" s="1"/>
      <c r="K12" s="1"/>
      <c r="L12" s="13"/>
      <c r="M12" t="s">
        <v>20</v>
      </c>
    </row>
    <row r="13" spans="2:13" ht="18" thickBot="1">
      <c r="B13" s="1"/>
      <c r="C13" s="1"/>
      <c r="D13" s="1"/>
      <c r="E13" s="1"/>
      <c r="F13" s="123"/>
      <c r="G13" s="11"/>
      <c r="H13" s="11"/>
      <c r="I13" s="11"/>
      <c r="J13" s="15"/>
      <c r="K13" s="16"/>
      <c r="L13" s="13"/>
    </row>
    <row r="14" spans="2:13" ht="15" thickBot="1">
      <c r="B14" s="334" t="s">
        <v>3</v>
      </c>
      <c r="C14" s="335"/>
      <c r="D14" s="336"/>
      <c r="E14" s="17">
        <f>SUM(E15:E17)</f>
        <v>116243.51999999999</v>
      </c>
      <c r="F14" s="18"/>
      <c r="G14" s="331" t="s">
        <v>4</v>
      </c>
      <c r="H14" s="332"/>
      <c r="I14" s="332"/>
      <c r="J14" s="332"/>
      <c r="K14" s="333"/>
      <c r="L14" s="19"/>
    </row>
    <row r="15" spans="2:13">
      <c r="B15" s="337" t="s">
        <v>5</v>
      </c>
      <c r="C15" s="338"/>
      <c r="D15" s="339"/>
      <c r="E15" s="20">
        <f>J16+J17+J18+J19</f>
        <v>51165.67</v>
      </c>
      <c r="F15" s="108">
        <f>E15+E16+E17</f>
        <v>116243.51999999999</v>
      </c>
      <c r="G15" s="340" t="s">
        <v>6</v>
      </c>
      <c r="H15" s="341"/>
      <c r="I15" s="21"/>
      <c r="J15" s="342" t="s">
        <v>5</v>
      </c>
      <c r="K15" s="343"/>
      <c r="L15" s="13"/>
    </row>
    <row r="16" spans="2:13">
      <c r="B16" s="349" t="s">
        <v>7</v>
      </c>
      <c r="C16" s="350"/>
      <c r="D16" s="351"/>
      <c r="E16" s="20">
        <f>G21+G22</f>
        <v>23368.949999999997</v>
      </c>
      <c r="F16" s="108">
        <v>90000</v>
      </c>
      <c r="G16" s="22">
        <v>12592.59</v>
      </c>
      <c r="H16" s="23" t="s">
        <v>8</v>
      </c>
      <c r="I16" s="24"/>
      <c r="J16" s="25">
        <v>12272.72</v>
      </c>
      <c r="K16" s="26" t="s">
        <v>9</v>
      </c>
      <c r="L16" s="13"/>
    </row>
    <row r="17" spans="2:14">
      <c r="B17" s="352" t="s">
        <v>6</v>
      </c>
      <c r="C17" s="353"/>
      <c r="D17" s="354"/>
      <c r="E17" s="28">
        <f>G16+G17+G18</f>
        <v>41708.9</v>
      </c>
      <c r="F17" s="108">
        <f>F15-F16</f>
        <v>26243.51999999999</v>
      </c>
      <c r="G17" s="22">
        <v>12325.68</v>
      </c>
      <c r="H17" s="29" t="s">
        <v>10</v>
      </c>
      <c r="I17" s="30"/>
      <c r="J17" s="25">
        <v>14828.71</v>
      </c>
      <c r="K17" s="31" t="s">
        <v>10</v>
      </c>
      <c r="L17" s="13"/>
    </row>
    <row r="18" spans="2:14">
      <c r="B18" s="355" t="s">
        <v>11</v>
      </c>
      <c r="C18" s="356"/>
      <c r="D18" s="357"/>
      <c r="E18" s="20">
        <f>G28+G30+G29+G27</f>
        <v>3105634.6700000004</v>
      </c>
      <c r="F18" s="109"/>
      <c r="G18" s="22">
        <v>16790.63</v>
      </c>
      <c r="H18" s="29" t="s">
        <v>12</v>
      </c>
      <c r="I18" s="30"/>
      <c r="J18" s="25">
        <v>12425.76</v>
      </c>
      <c r="K18" s="31" t="s">
        <v>12</v>
      </c>
      <c r="L18" s="32"/>
    </row>
    <row r="19" spans="2:14">
      <c r="B19" s="344" t="s">
        <v>13</v>
      </c>
      <c r="C19" s="345"/>
      <c r="D19" s="346"/>
      <c r="E19" s="20">
        <v>14140423.85</v>
      </c>
      <c r="F19" s="108"/>
      <c r="G19" s="33"/>
      <c r="H19" s="34"/>
      <c r="I19" s="30"/>
      <c r="J19" s="25">
        <f>10000+16288.48-14650</f>
        <v>11638.48</v>
      </c>
      <c r="K19" s="31" t="s">
        <v>14</v>
      </c>
      <c r="L19" s="13"/>
    </row>
    <row r="20" spans="2:14">
      <c r="B20" s="358" t="s">
        <v>15</v>
      </c>
      <c r="C20" s="359"/>
      <c r="D20" s="360"/>
      <c r="E20" s="35">
        <f>SUM(E21:E22)</f>
        <v>0</v>
      </c>
      <c r="F20" s="14"/>
      <c r="G20" s="361" t="s">
        <v>16</v>
      </c>
      <c r="H20" s="362"/>
      <c r="I20" s="36"/>
      <c r="J20" s="37"/>
      <c r="K20" s="38"/>
      <c r="L20" s="39"/>
    </row>
    <row r="21" spans="2:14">
      <c r="B21" s="40"/>
      <c r="C21" s="41"/>
      <c r="D21" s="122"/>
      <c r="E21" s="43">
        <v>0</v>
      </c>
      <c r="F21" s="14"/>
      <c r="G21" s="44">
        <v>11401.56</v>
      </c>
      <c r="H21" s="29" t="s">
        <v>10</v>
      </c>
      <c r="I21" s="30"/>
      <c r="J21" s="37"/>
      <c r="K21" s="45"/>
      <c r="L21" s="39"/>
    </row>
    <row r="22" spans="2:14">
      <c r="B22" s="40"/>
      <c r="C22" s="41"/>
      <c r="D22" s="122"/>
      <c r="E22" s="43">
        <v>0</v>
      </c>
      <c r="F22" s="14"/>
      <c r="G22" s="44">
        <v>11967.39</v>
      </c>
      <c r="H22" s="29" t="s">
        <v>18</v>
      </c>
      <c r="I22" s="30"/>
      <c r="J22" s="50"/>
      <c r="K22" s="38"/>
      <c r="L22" s="39"/>
    </row>
    <row r="23" spans="2:14" ht="15" thickBot="1">
      <c r="B23" s="46" t="s">
        <v>17</v>
      </c>
      <c r="C23" s="47"/>
      <c r="D23" s="48"/>
      <c r="E23" s="49">
        <v>0</v>
      </c>
      <c r="F23" s="14"/>
      <c r="G23" s="51"/>
      <c r="H23" s="34"/>
      <c r="I23" s="30"/>
      <c r="J23" s="52"/>
      <c r="K23" s="53"/>
      <c r="L23" s="39"/>
      <c r="N23" t="s">
        <v>20</v>
      </c>
    </row>
    <row r="24" spans="2:14" ht="15" thickBot="1">
      <c r="B24" s="366" t="s">
        <v>58</v>
      </c>
      <c r="C24" s="367"/>
      <c r="D24" s="368"/>
      <c r="E24" s="49">
        <v>0</v>
      </c>
      <c r="F24" s="8"/>
      <c r="G24" s="331" t="s">
        <v>21</v>
      </c>
      <c r="H24" s="332"/>
      <c r="I24" s="332"/>
      <c r="J24" s="332"/>
      <c r="K24" s="333"/>
      <c r="L24" s="39"/>
    </row>
    <row r="25" spans="2:14">
      <c r="B25" s="344" t="s">
        <v>59</v>
      </c>
      <c r="C25" s="345"/>
      <c r="D25" s="346"/>
      <c r="E25" s="49">
        <v>0</v>
      </c>
      <c r="F25" s="8"/>
      <c r="G25" s="54"/>
      <c r="H25" s="55"/>
      <c r="I25" s="56"/>
      <c r="J25" s="57"/>
      <c r="K25" s="58"/>
      <c r="L25" s="39"/>
    </row>
    <row r="26" spans="2:14">
      <c r="B26" s="344" t="s">
        <v>22</v>
      </c>
      <c r="C26" s="345"/>
      <c r="D26" s="346"/>
      <c r="E26" s="49">
        <v>19512.400000000001</v>
      </c>
      <c r="F26" s="9">
        <v>0</v>
      </c>
      <c r="G26" s="347" t="s">
        <v>5</v>
      </c>
      <c r="H26" s="348"/>
      <c r="I26" s="59"/>
      <c r="J26" s="60"/>
      <c r="K26" s="45"/>
      <c r="L26" s="61"/>
    </row>
    <row r="27" spans="2:14">
      <c r="B27" s="344" t="s">
        <v>64</v>
      </c>
      <c r="C27" s="345"/>
      <c r="D27" s="346"/>
      <c r="E27" s="49">
        <v>0</v>
      </c>
      <c r="F27" s="14">
        <v>20000</v>
      </c>
      <c r="G27" s="22">
        <f>31558.21-11500</f>
        <v>20058.21</v>
      </c>
      <c r="H27" s="62" t="s">
        <v>9</v>
      </c>
      <c r="I27" s="59"/>
      <c r="J27" s="60"/>
      <c r="K27" s="45"/>
      <c r="L27" s="61"/>
    </row>
    <row r="28" spans="2:14">
      <c r="B28" s="344" t="s">
        <v>24</v>
      </c>
      <c r="C28" s="345"/>
      <c r="D28" s="346"/>
      <c r="E28" s="49">
        <f>15000+65000</f>
        <v>80000</v>
      </c>
      <c r="F28" s="14">
        <v>225000</v>
      </c>
      <c r="G28" s="22">
        <v>227045.64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4">
      <c r="B29" s="344" t="s">
        <v>25</v>
      </c>
      <c r="C29" s="345"/>
      <c r="D29" s="346"/>
      <c r="E29" s="49">
        <v>0</v>
      </c>
      <c r="F29" s="14">
        <v>90000</v>
      </c>
      <c r="G29" s="67">
        <f>101298.41-10000</f>
        <v>91298.41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4" ht="15" thickBot="1">
      <c r="B30" s="363" t="s">
        <v>29</v>
      </c>
      <c r="C30" s="364"/>
      <c r="D30" s="365"/>
      <c r="E30" s="66">
        <v>0</v>
      </c>
      <c r="F30" s="14">
        <v>2765000</v>
      </c>
      <c r="G30" s="71">
        <v>2767232.41</v>
      </c>
      <c r="H30" s="72" t="s">
        <v>12</v>
      </c>
      <c r="I30" s="73"/>
      <c r="J30" s="74" t="s">
        <v>32</v>
      </c>
      <c r="K30" s="75" t="s">
        <v>33</v>
      </c>
      <c r="L30" s="61"/>
    </row>
    <row r="31" spans="2:14">
      <c r="B31" s="69"/>
      <c r="C31" s="69"/>
      <c r="D31" s="70"/>
      <c r="E31" s="70"/>
      <c r="F31" s="32">
        <f>SUM(F26:F30)</f>
        <v>3100000</v>
      </c>
      <c r="G31" s="76"/>
      <c r="H31" s="76"/>
      <c r="I31" s="76"/>
      <c r="J31" s="76"/>
      <c r="K31" s="1"/>
      <c r="L31" s="77"/>
    </row>
    <row r="34" spans="5:7">
      <c r="E34" s="78" t="s">
        <v>66</v>
      </c>
      <c r="F34" s="78"/>
    </row>
    <row r="35" spans="5:7">
      <c r="E35" s="78"/>
      <c r="F35" s="78"/>
    </row>
    <row r="36" spans="5:7">
      <c r="E36" s="83" t="s">
        <v>34</v>
      </c>
      <c r="F36" s="88">
        <f>F17</f>
        <v>26243.51999999999</v>
      </c>
    </row>
    <row r="37" spans="5:7">
      <c r="E37" s="83" t="s">
        <v>35</v>
      </c>
      <c r="F37" s="88">
        <f>+F31</f>
        <v>3100000</v>
      </c>
    </row>
    <row r="38" spans="5:7" s="61" customFormat="1" ht="15" customHeight="1">
      <c r="E38" s="83" t="s">
        <v>36</v>
      </c>
      <c r="F38" s="88">
        <v>0</v>
      </c>
      <c r="G38" s="8"/>
    </row>
    <row r="39" spans="5:7" s="61" customFormat="1" ht="15" customHeight="1">
      <c r="E39" s="83" t="s">
        <v>37</v>
      </c>
      <c r="F39" s="88">
        <v>0</v>
      </c>
      <c r="G39" s="86"/>
    </row>
    <row r="40" spans="5:7" s="61" customFormat="1" ht="15" customHeight="1">
      <c r="E40" s="85" t="s">
        <v>38</v>
      </c>
      <c r="F40" s="92">
        <f>SUM(F36:F39)</f>
        <v>3126243.52</v>
      </c>
      <c r="G40" s="86"/>
    </row>
    <row r="41" spans="5:7" s="61" customFormat="1" ht="15" customHeight="1">
      <c r="E41" s="87"/>
      <c r="F41" s="93"/>
      <c r="G41" s="86"/>
    </row>
    <row r="42" spans="5:7" s="61" customFormat="1" ht="15" customHeight="1">
      <c r="E42" s="89" t="s">
        <v>65</v>
      </c>
      <c r="F42" s="93">
        <v>75000</v>
      </c>
      <c r="G42" s="9"/>
    </row>
    <row r="43" spans="5:7" s="61" customFormat="1" ht="15" customHeight="1">
      <c r="E43" s="87" t="s">
        <v>67</v>
      </c>
      <c r="F43" s="93">
        <v>1450000</v>
      </c>
      <c r="G43" s="9"/>
    </row>
    <row r="44" spans="5:7" s="61" customFormat="1" ht="15" customHeight="1">
      <c r="E44" s="90" t="s">
        <v>68</v>
      </c>
      <c r="F44" s="93">
        <v>67500</v>
      </c>
      <c r="G44" s="9"/>
    </row>
    <row r="45" spans="5:7" s="61" customFormat="1" ht="15" customHeight="1">
      <c r="E45" s="91" t="s">
        <v>24</v>
      </c>
      <c r="F45" s="95">
        <f>65000+15000+215000</f>
        <v>295000</v>
      </c>
      <c r="G45" s="94">
        <v>810000</v>
      </c>
    </row>
    <row r="46" spans="5:7" s="61" customFormat="1" ht="15" customHeight="1">
      <c r="E46" s="91" t="s">
        <v>39</v>
      </c>
      <c r="F46" s="95">
        <v>2000</v>
      </c>
      <c r="G46" s="9"/>
    </row>
    <row r="47" spans="5:7" s="61" customFormat="1" ht="15" customHeight="1">
      <c r="E47" s="91" t="s">
        <v>22</v>
      </c>
      <c r="F47" s="95">
        <v>35000</v>
      </c>
      <c r="G47" s="9"/>
    </row>
    <row r="48" spans="5:7" s="61" customFormat="1" ht="15" customHeight="1">
      <c r="E48" s="91" t="s">
        <v>69</v>
      </c>
      <c r="F48" s="95">
        <v>58322</v>
      </c>
      <c r="G48" s="9"/>
    </row>
    <row r="49" spans="5:7" s="61" customFormat="1" ht="15" customHeight="1">
      <c r="E49" s="91" t="s">
        <v>52</v>
      </c>
      <c r="F49" s="95">
        <v>190752</v>
      </c>
      <c r="G49" s="9"/>
    </row>
    <row r="50" spans="5:7" s="61" customFormat="1" ht="15" customHeight="1">
      <c r="E50" s="91" t="s">
        <v>54</v>
      </c>
      <c r="F50" s="95">
        <v>20000</v>
      </c>
      <c r="G50" s="9"/>
    </row>
    <row r="51" spans="5:7" s="61" customFormat="1" ht="15" customHeight="1">
      <c r="E51" s="91" t="s">
        <v>55</v>
      </c>
      <c r="F51" s="95">
        <v>250000</v>
      </c>
      <c r="G51" s="9"/>
    </row>
    <row r="52" spans="5:7" s="61" customFormat="1" ht="15" customHeight="1">
      <c r="E52" s="91" t="s">
        <v>40</v>
      </c>
      <c r="F52" s="93">
        <v>100000</v>
      </c>
      <c r="G52" s="9"/>
    </row>
    <row r="53" spans="5:7" s="61" customFormat="1" ht="15" customHeight="1">
      <c r="E53" s="96" t="s">
        <v>41</v>
      </c>
      <c r="F53" s="97">
        <f>SUM(F42:F52)</f>
        <v>2543574</v>
      </c>
      <c r="G53" s="82"/>
    </row>
    <row r="54" spans="5:7" s="61" customFormat="1" ht="15" customHeight="1">
      <c r="E54" s="96" t="s">
        <v>42</v>
      </c>
      <c r="F54" s="97">
        <f>F40-F53</f>
        <v>582669.52</v>
      </c>
      <c r="G54" s="82"/>
    </row>
    <row r="55" spans="5:7" s="61" customFormat="1" ht="15" customHeight="1">
      <c r="E55" s="83"/>
      <c r="F55" s="83"/>
      <c r="G55" s="8"/>
    </row>
    <row r="56" spans="5:7" s="61" customFormat="1">
      <c r="E56" s="83" t="s">
        <v>43</v>
      </c>
      <c r="F56" s="98">
        <f>43800+180000</f>
        <v>223800</v>
      </c>
      <c r="G56" s="8"/>
    </row>
    <row r="57" spans="5:7" s="61" customFormat="1">
      <c r="E57" s="83" t="s">
        <v>44</v>
      </c>
      <c r="F57" s="98">
        <v>0</v>
      </c>
      <c r="G57" s="8"/>
    </row>
    <row r="58" spans="5:7" s="61" customFormat="1">
      <c r="E58" s="82" t="s">
        <v>45</v>
      </c>
      <c r="F58" s="117">
        <v>0</v>
      </c>
      <c r="G58" s="8"/>
    </row>
    <row r="59" spans="5:7" s="61" customFormat="1">
      <c r="E59" s="118" t="s">
        <v>46</v>
      </c>
      <c r="F59" s="120">
        <f>SUM(F56:F58)</f>
        <v>223800</v>
      </c>
      <c r="G59" s="8"/>
    </row>
    <row r="60" spans="5:7" s="61" customFormat="1">
      <c r="E60" s="82"/>
      <c r="F60" s="82"/>
      <c r="G60" s="8"/>
    </row>
    <row r="61" spans="5:7" s="61" customFormat="1">
      <c r="E61" s="118" t="s">
        <v>47</v>
      </c>
      <c r="F61" s="121">
        <f>F54-F59</f>
        <v>358869.52</v>
      </c>
      <c r="G61" s="8"/>
    </row>
  </sheetData>
  <mergeCells count="22"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  <mergeCell ref="B28:D28"/>
    <mergeCell ref="B29:D29"/>
    <mergeCell ref="B30:D30"/>
    <mergeCell ref="B24:D24"/>
    <mergeCell ref="G24:K24"/>
    <mergeCell ref="B25:D25"/>
    <mergeCell ref="B26:D26"/>
    <mergeCell ref="G26:H26"/>
    <mergeCell ref="B27:D27"/>
  </mergeCells>
  <pageMargins left="0.7" right="0.7" top="0.75" bottom="0.75" header="0.3" footer="0.3"/>
  <drawing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778BA-FCFA-478A-9D33-54F3FF30D86B}">
  <dimension ref="B6:P63"/>
  <sheetViews>
    <sheetView showGridLines="0" workbookViewId="0">
      <selection activeCell="E31" sqref="E31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2:11">
      <c r="B7" s="1"/>
      <c r="C7" s="1"/>
      <c r="D7" s="1"/>
      <c r="E7" s="1"/>
      <c r="F7" s="215"/>
      <c r="G7" s="1"/>
      <c r="H7" s="1"/>
      <c r="I7" s="1"/>
      <c r="J7" s="76"/>
      <c r="K7" s="1"/>
    </row>
    <row r="8" spans="2:11">
      <c r="B8" s="1"/>
      <c r="C8" s="1"/>
      <c r="D8" s="1"/>
      <c r="E8" s="1"/>
      <c r="F8" s="215"/>
      <c r="G8" s="1"/>
      <c r="H8" s="1"/>
      <c r="I8" s="4"/>
      <c r="J8" s="76"/>
      <c r="K8" s="76"/>
    </row>
    <row r="9" spans="2:11">
      <c r="B9" s="1"/>
      <c r="C9" s="1"/>
      <c r="D9" s="1"/>
      <c r="E9" s="1"/>
      <c r="F9" s="215"/>
      <c r="G9" s="1"/>
      <c r="H9" s="1"/>
      <c r="I9" s="4"/>
      <c r="J9" s="76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2:11" ht="15" thickBot="1"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2:11" ht="18" thickBot="1">
      <c r="B12" s="331" t="s">
        <v>2</v>
      </c>
      <c r="C12" s="332"/>
      <c r="D12" s="332"/>
      <c r="E12" s="333"/>
      <c r="F12" s="217"/>
      <c r="G12" s="1"/>
      <c r="H12" s="1"/>
      <c r="I12" s="1"/>
      <c r="J12" s="76"/>
      <c r="K12" s="1"/>
    </row>
    <row r="13" spans="2:11" ht="18" thickBot="1">
      <c r="B13" s="1"/>
      <c r="C13" s="1"/>
      <c r="D13" s="1"/>
      <c r="E13" s="1"/>
      <c r="F13" s="150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292910.42</v>
      </c>
      <c r="F14" s="153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164320.79999999999</v>
      </c>
      <c r="F15" s="153">
        <f>E15+E16+E17</f>
        <v>292910.42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25034.510000000002</v>
      </c>
      <c r="F16" s="153">
        <v>90000</v>
      </c>
      <c r="G16" s="22">
        <v>11013.19</v>
      </c>
      <c r="H16" s="23" t="s">
        <v>8</v>
      </c>
      <c r="I16" s="24"/>
      <c r="J16" s="25">
        <v>14238.46</v>
      </c>
      <c r="K16" s="26" t="s">
        <v>9</v>
      </c>
    </row>
    <row r="17" spans="2:13">
      <c r="B17" s="352" t="s">
        <v>6</v>
      </c>
      <c r="C17" s="353"/>
      <c r="D17" s="354"/>
      <c r="E17" s="28">
        <f>G16+G17+G18</f>
        <v>103555.11</v>
      </c>
      <c r="F17" s="153">
        <f>F15-F16</f>
        <v>202910.41999999998</v>
      </c>
      <c r="G17" s="22">
        <v>65537.48</v>
      </c>
      <c r="H17" s="29" t="s">
        <v>10</v>
      </c>
      <c r="I17" s="30"/>
      <c r="J17" s="25">
        <v>80498.600000000006</v>
      </c>
      <c r="K17" s="31" t="s">
        <v>10</v>
      </c>
      <c r="L17" s="13"/>
    </row>
    <row r="18" spans="2:13">
      <c r="B18" s="355" t="s">
        <v>11</v>
      </c>
      <c r="C18" s="356"/>
      <c r="D18" s="357"/>
      <c r="E18" s="20">
        <f>G28+G30+G29+G27</f>
        <v>54893.700000000026</v>
      </c>
      <c r="F18" s="153"/>
      <c r="G18" s="22">
        <v>27004.44</v>
      </c>
      <c r="H18" s="29" t="s">
        <v>12</v>
      </c>
      <c r="I18" s="30"/>
      <c r="J18" s="25">
        <v>21132.46</v>
      </c>
      <c r="K18" s="31" t="s">
        <v>12</v>
      </c>
      <c r="L18" s="32"/>
    </row>
    <row r="19" spans="2:13">
      <c r="B19" s="344" t="s">
        <v>13</v>
      </c>
      <c r="C19" s="345"/>
      <c r="D19" s="346"/>
      <c r="E19" s="20">
        <f>19558850.65-E20</f>
        <v>19557318.649999999</v>
      </c>
      <c r="F19" s="153"/>
      <c r="G19" s="33"/>
      <c r="H19" s="34"/>
      <c r="I19" s="30"/>
      <c r="J19" s="25">
        <v>48451.28</v>
      </c>
      <c r="K19" s="31" t="s">
        <v>14</v>
      </c>
      <c r="L19" s="13"/>
      <c r="M19" t="s">
        <v>20</v>
      </c>
    </row>
    <row r="20" spans="2:13">
      <c r="B20" s="187" t="s">
        <v>15</v>
      </c>
      <c r="C20" s="188"/>
      <c r="D20" s="189"/>
      <c r="E20" s="190">
        <f>SUM(E21:E22)</f>
        <v>1532</v>
      </c>
      <c r="F20" s="153"/>
      <c r="G20" s="361" t="s">
        <v>16</v>
      </c>
      <c r="H20" s="362"/>
      <c r="I20" s="36"/>
      <c r="J20" s="37"/>
      <c r="K20" s="38"/>
      <c r="L20" s="39"/>
    </row>
    <row r="21" spans="2:13">
      <c r="B21" s="187"/>
      <c r="C21" s="188"/>
      <c r="D21" s="198" t="s">
        <v>181</v>
      </c>
      <c r="E21" s="190">
        <v>1532</v>
      </c>
      <c r="F21" s="153" t="e">
        <f>SUM(E23:E29)</f>
        <v>#REF!</v>
      </c>
      <c r="G21" s="44">
        <v>13215.84</v>
      </c>
      <c r="H21" s="29" t="s">
        <v>10</v>
      </c>
      <c r="I21" s="30"/>
      <c r="J21" s="37"/>
      <c r="K21" s="45"/>
      <c r="L21" s="39"/>
    </row>
    <row r="22" spans="2:13">
      <c r="B22" s="206"/>
      <c r="C22" s="205"/>
      <c r="D22" s="208"/>
      <c r="E22" s="190">
        <v>0</v>
      </c>
      <c r="F22" s="153" t="e">
        <f>+F17-F21</f>
        <v>#REF!</v>
      </c>
      <c r="G22" s="44">
        <v>11818.67</v>
      </c>
      <c r="H22" s="29" t="s">
        <v>18</v>
      </c>
      <c r="I22" s="30"/>
      <c r="J22" s="50"/>
      <c r="K22" s="38"/>
      <c r="L22" s="39"/>
    </row>
    <row r="23" spans="2:13" ht="15" thickBot="1">
      <c r="B23" s="46" t="s">
        <v>17</v>
      </c>
      <c r="C23" s="47"/>
      <c r="D23" s="48"/>
      <c r="E23" s="234" t="e">
        <f>+#REF!</f>
        <v>#REF!</v>
      </c>
      <c r="F23" s="153"/>
      <c r="G23" s="51"/>
      <c r="H23" s="34"/>
      <c r="I23" s="30"/>
      <c r="J23" s="210"/>
      <c r="K23" s="53"/>
      <c r="L23" s="39"/>
    </row>
    <row r="24" spans="2:13" ht="15" thickBot="1">
      <c r="B24" s="202" t="s">
        <v>178</v>
      </c>
      <c r="C24" s="203"/>
      <c r="D24" s="204"/>
      <c r="E24" s="49">
        <v>0</v>
      </c>
      <c r="F24" s="153"/>
      <c r="G24" s="331" t="s">
        <v>21</v>
      </c>
      <c r="H24" s="332"/>
      <c r="I24" s="332"/>
      <c r="J24" s="332"/>
      <c r="K24" s="333"/>
      <c r="L24" s="39"/>
    </row>
    <row r="25" spans="2:13">
      <c r="B25" s="199" t="s">
        <v>179</v>
      </c>
      <c r="C25" s="200"/>
      <c r="D25" s="201"/>
      <c r="E25" s="49">
        <f>12256.4-2373.4+1934.8</f>
        <v>11817.8</v>
      </c>
      <c r="F25" s="221"/>
      <c r="G25" s="54"/>
      <c r="H25" s="55"/>
      <c r="I25" s="56"/>
      <c r="J25" s="211"/>
      <c r="K25" s="58"/>
      <c r="L25" s="39"/>
    </row>
    <row r="26" spans="2:13">
      <c r="B26" s="199" t="s">
        <v>23</v>
      </c>
      <c r="C26" s="200"/>
      <c r="D26" s="201"/>
      <c r="E26" s="49">
        <v>0</v>
      </c>
      <c r="F26" s="220"/>
      <c r="G26" s="347" t="s">
        <v>5</v>
      </c>
      <c r="H26" s="348"/>
      <c r="I26" s="59"/>
      <c r="J26" s="60"/>
      <c r="K26" s="45"/>
      <c r="L26" s="61"/>
    </row>
    <row r="27" spans="2:13">
      <c r="B27" s="199" t="s">
        <v>81</v>
      </c>
      <c r="C27" s="200"/>
      <c r="D27" s="201"/>
      <c r="E27" s="49">
        <v>0</v>
      </c>
      <c r="F27" s="220"/>
      <c r="G27" s="22">
        <f>31753.7-11500-8500</f>
        <v>11753.7</v>
      </c>
      <c r="H27" s="62" t="s">
        <v>9</v>
      </c>
      <c r="I27" s="59"/>
      <c r="J27" s="60"/>
      <c r="K27" s="45"/>
      <c r="L27" s="61"/>
    </row>
    <row r="28" spans="2:13">
      <c r="B28" s="344" t="s">
        <v>25</v>
      </c>
      <c r="C28" s="345"/>
      <c r="D28" s="346"/>
      <c r="E28" s="49">
        <v>0</v>
      </c>
      <c r="F28" s="220"/>
      <c r="G28" s="22">
        <v>4254.62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3" ht="15" thickBot="1">
      <c r="B29" s="363" t="s">
        <v>29</v>
      </c>
      <c r="C29" s="364"/>
      <c r="D29" s="365"/>
      <c r="E29" s="66">
        <v>0</v>
      </c>
      <c r="F29" s="220"/>
      <c r="G29" s="67">
        <v>1618.88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3" ht="15" thickBot="1">
      <c r="E30" s="61"/>
      <c r="F30" s="220"/>
      <c r="G30" s="71">
        <f>291292.03-254025.53</f>
        <v>37266.500000000029</v>
      </c>
      <c r="H30" s="72" t="s">
        <v>12</v>
      </c>
      <c r="I30" s="73"/>
      <c r="J30" s="74" t="s">
        <v>32</v>
      </c>
      <c r="K30" s="75" t="s">
        <v>33</v>
      </c>
      <c r="L30" s="61"/>
    </row>
    <row r="36" spans="5:7">
      <c r="E36" s="181" t="s">
        <v>174</v>
      </c>
      <c r="F36" s="222"/>
      <c r="G36" s="8"/>
    </row>
    <row r="37" spans="5:7">
      <c r="E37" s="181"/>
      <c r="F37" s="222"/>
      <c r="G37" s="8"/>
    </row>
    <row r="38" spans="5:7" s="61" customFormat="1" ht="15" customHeight="1">
      <c r="E38" s="8" t="s">
        <v>34</v>
      </c>
      <c r="F38" s="222">
        <f>F17</f>
        <v>202910.41999999998</v>
      </c>
      <c r="G38" s="86">
        <v>1659693.86</v>
      </c>
    </row>
    <row r="39" spans="5:7" s="61" customFormat="1" ht="15" customHeight="1">
      <c r="E39" s="8" t="s">
        <v>35</v>
      </c>
      <c r="F39" s="222">
        <f>+E18</f>
        <v>54893.700000000026</v>
      </c>
      <c r="G39" s="86">
        <v>480000</v>
      </c>
    </row>
    <row r="40" spans="5:7" s="61" customFormat="1" ht="15" customHeight="1">
      <c r="E40" s="8" t="s">
        <v>36</v>
      </c>
      <c r="F40" s="222">
        <f>430000-170000</f>
        <v>260000</v>
      </c>
      <c r="G40" s="86"/>
    </row>
    <row r="41" spans="5:7" s="61" customFormat="1" ht="15" customHeight="1">
      <c r="E41" s="8" t="s">
        <v>37</v>
      </c>
      <c r="F41" s="222">
        <v>0</v>
      </c>
      <c r="G41" s="88"/>
    </row>
    <row r="42" spans="5:7" s="61" customFormat="1" ht="15" customHeight="1">
      <c r="E42" s="182" t="s">
        <v>38</v>
      </c>
      <c r="F42" s="223">
        <f>SUM(F38:F41)</f>
        <v>517804.12</v>
      </c>
      <c r="G42" s="13"/>
    </row>
    <row r="43" spans="5:7" s="61" customFormat="1" ht="15" customHeight="1">
      <c r="E43" s="183"/>
      <c r="F43" s="224"/>
      <c r="G43" s="13"/>
    </row>
    <row r="44" spans="5:7" s="61" customFormat="1" ht="15" customHeight="1">
      <c r="E44" s="183" t="s">
        <v>176</v>
      </c>
      <c r="F44" s="224">
        <v>1350000</v>
      </c>
      <c r="G44" s="13"/>
    </row>
    <row r="45" spans="5:7" s="61" customFormat="1" ht="15" customHeight="1">
      <c r="E45" s="183" t="s">
        <v>177</v>
      </c>
      <c r="F45" s="224">
        <v>85000</v>
      </c>
      <c r="G45" s="13"/>
    </row>
    <row r="46" spans="5:7" s="61" customFormat="1" ht="15" customHeight="1">
      <c r="E46" s="183" t="s">
        <v>83</v>
      </c>
      <c r="F46" s="224">
        <v>0</v>
      </c>
      <c r="G46" s="13"/>
    </row>
    <row r="47" spans="5:7" s="61" customFormat="1" ht="15" customHeight="1">
      <c r="E47" s="183" t="s">
        <v>175</v>
      </c>
      <c r="F47" s="224">
        <v>95000</v>
      </c>
      <c r="G47" s="13"/>
    </row>
    <row r="48" spans="5:7" s="61" customFormat="1" ht="15" customHeight="1">
      <c r="E48" s="114" t="s">
        <v>105</v>
      </c>
      <c r="F48" s="220">
        <v>55000</v>
      </c>
    </row>
    <row r="49" spans="5:6" s="61" customFormat="1" ht="15" customHeight="1">
      <c r="E49" s="114" t="s">
        <v>69</v>
      </c>
      <c r="F49" s="220">
        <v>60000</v>
      </c>
    </row>
    <row r="50" spans="5:6" s="61" customFormat="1" ht="15" customHeight="1">
      <c r="E50" s="114" t="s">
        <v>81</v>
      </c>
      <c r="F50" s="220">
        <f>38730+1177+484744+5825</f>
        <v>530476</v>
      </c>
    </row>
    <row r="51" spans="5:6" s="61" customFormat="1" ht="15" customHeight="1">
      <c r="E51" s="116" t="s">
        <v>24</v>
      </c>
      <c r="F51" s="220">
        <v>0</v>
      </c>
    </row>
    <row r="52" spans="5:6" s="61" customFormat="1" ht="15" customHeight="1">
      <c r="E52" s="116" t="s">
        <v>39</v>
      </c>
      <c r="F52" s="220">
        <v>2000</v>
      </c>
    </row>
    <row r="53" spans="5:6" s="61" customFormat="1">
      <c r="E53" s="116" t="s">
        <v>22</v>
      </c>
      <c r="F53" s="220">
        <v>0</v>
      </c>
    </row>
    <row r="54" spans="5:6" s="61" customFormat="1">
      <c r="E54" s="116" t="s">
        <v>40</v>
      </c>
      <c r="F54" s="220">
        <v>45000</v>
      </c>
    </row>
    <row r="55" spans="5:6" s="61" customFormat="1">
      <c r="E55" s="118" t="s">
        <v>41</v>
      </c>
      <c r="F55" s="225">
        <f>SUM(F44:F54)</f>
        <v>2222476</v>
      </c>
    </row>
    <row r="56" spans="5:6" s="61" customFormat="1">
      <c r="E56" s="118" t="s">
        <v>42</v>
      </c>
      <c r="F56" s="225">
        <f>F42-F55</f>
        <v>-1704671.88</v>
      </c>
    </row>
    <row r="57" spans="5:6" s="61" customFormat="1">
      <c r="E57" s="82"/>
      <c r="F57" s="221"/>
    </row>
    <row r="58" spans="5:6" s="61" customFormat="1">
      <c r="E58" s="82" t="s">
        <v>43</v>
      </c>
      <c r="F58" s="221">
        <f>43800+180000</f>
        <v>223800</v>
      </c>
    </row>
    <row r="59" spans="5:6" s="61" customFormat="1">
      <c r="E59" s="82" t="s">
        <v>44</v>
      </c>
      <c r="F59" s="221">
        <f>100000+350000-20000-40000</f>
        <v>390000</v>
      </c>
    </row>
    <row r="60" spans="5:6" s="61" customFormat="1">
      <c r="E60" s="82" t="s">
        <v>91</v>
      </c>
      <c r="F60" s="226">
        <v>230297.13</v>
      </c>
    </row>
    <row r="61" spans="5:6" s="61" customFormat="1">
      <c r="E61" s="118" t="s">
        <v>46</v>
      </c>
      <c r="F61" s="227">
        <f>SUM(F58:F60)</f>
        <v>844097.13</v>
      </c>
    </row>
    <row r="62" spans="5:6" s="61" customFormat="1">
      <c r="E62" s="82"/>
      <c r="F62" s="221"/>
    </row>
    <row r="63" spans="5:6" s="61" customFormat="1">
      <c r="E63" s="118" t="s">
        <v>47</v>
      </c>
      <c r="F63" s="227">
        <f>F56-F61</f>
        <v>-2548769.0099999998</v>
      </c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6:H26"/>
    <mergeCell ref="B28:D28"/>
    <mergeCell ref="B29:D29"/>
    <mergeCell ref="B16:D16"/>
    <mergeCell ref="B17:D17"/>
    <mergeCell ref="B18:D18"/>
    <mergeCell ref="B19:D19"/>
    <mergeCell ref="G20:H20"/>
    <mergeCell ref="G24:K24"/>
  </mergeCells>
  <pageMargins left="0.7" right="0.7" top="0.75" bottom="0.75" header="0.3" footer="0.3"/>
  <drawing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39E5D-3266-4F2F-A348-3BC133736F27}">
  <dimension ref="B6:P59"/>
  <sheetViews>
    <sheetView showGridLines="0" topLeftCell="A10" workbookViewId="0">
      <selection activeCell="H38" sqref="H38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2:11">
      <c r="B7" s="1"/>
      <c r="C7" s="1"/>
      <c r="D7" s="1"/>
      <c r="E7" s="1"/>
      <c r="F7" s="215"/>
      <c r="G7" s="1"/>
      <c r="H7" s="1"/>
      <c r="I7" s="1"/>
      <c r="J7" s="76"/>
      <c r="K7" s="1"/>
    </row>
    <row r="8" spans="2:11">
      <c r="B8" s="1"/>
      <c r="C8" s="1"/>
      <c r="D8" s="1"/>
      <c r="E8" s="1"/>
      <c r="F8" s="215"/>
      <c r="G8" s="1"/>
      <c r="H8" s="1"/>
      <c r="I8" s="4"/>
      <c r="J8" s="76"/>
      <c r="K8" s="76"/>
    </row>
    <row r="9" spans="2:11">
      <c r="B9" s="1"/>
      <c r="C9" s="1"/>
      <c r="D9" s="1"/>
      <c r="E9" s="1"/>
      <c r="F9" s="215"/>
      <c r="G9" s="1"/>
      <c r="H9" s="1"/>
      <c r="I9" s="4"/>
      <c r="J9" s="76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2:11" ht="15" thickBot="1"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2:11" ht="18" thickBot="1">
      <c r="B12" s="331" t="s">
        <v>2</v>
      </c>
      <c r="C12" s="332"/>
      <c r="D12" s="332"/>
      <c r="E12" s="333"/>
      <c r="F12" s="217"/>
      <c r="G12" s="1"/>
      <c r="H12" s="1"/>
      <c r="I12" s="1"/>
      <c r="J12" s="76"/>
      <c r="K12" s="1"/>
    </row>
    <row r="13" spans="2:11" ht="18" thickBot="1">
      <c r="B13" s="1"/>
      <c r="C13" s="1"/>
      <c r="D13" s="1"/>
      <c r="E13" s="1"/>
      <c r="F13" s="150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294962.63</v>
      </c>
      <c r="F14" s="153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216311.43</v>
      </c>
      <c r="F15" s="153">
        <f>E15+E16+E17</f>
        <v>294962.63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25034.510000000002</v>
      </c>
      <c r="F16" s="153">
        <v>90000</v>
      </c>
      <c r="G16" s="22">
        <v>7185.19</v>
      </c>
      <c r="H16" s="23" t="s">
        <v>8</v>
      </c>
      <c r="I16" s="24"/>
      <c r="J16" s="25">
        <v>29021.59</v>
      </c>
      <c r="K16" s="26" t="s">
        <v>9</v>
      </c>
    </row>
    <row r="17" spans="2:13">
      <c r="B17" s="352" t="s">
        <v>6</v>
      </c>
      <c r="C17" s="353"/>
      <c r="D17" s="354"/>
      <c r="E17" s="28">
        <f>G16+G17+G18</f>
        <v>53616.69</v>
      </c>
      <c r="F17" s="153">
        <f>F15-F16</f>
        <v>204962.63</v>
      </c>
      <c r="G17" s="22">
        <v>23901.46</v>
      </c>
      <c r="H17" s="29" t="s">
        <v>10</v>
      </c>
      <c r="I17" s="30"/>
      <c r="J17" s="25">
        <v>80498.600000000006</v>
      </c>
      <c r="K17" s="31" t="s">
        <v>10</v>
      </c>
      <c r="L17" s="13"/>
    </row>
    <row r="18" spans="2:13">
      <c r="B18" s="355" t="s">
        <v>11</v>
      </c>
      <c r="C18" s="356"/>
      <c r="D18" s="357"/>
      <c r="E18" s="20">
        <f>G28+G30+G29+G27</f>
        <v>20249.330000000009</v>
      </c>
      <c r="F18" s="153"/>
      <c r="G18" s="22">
        <v>22530.04</v>
      </c>
      <c r="H18" s="29" t="s">
        <v>12</v>
      </c>
      <c r="I18" s="30"/>
      <c r="J18" s="25">
        <f>110058.06-50000</f>
        <v>60058.06</v>
      </c>
      <c r="K18" s="31" t="s">
        <v>12</v>
      </c>
      <c r="L18" s="32"/>
    </row>
    <row r="19" spans="2:13">
      <c r="B19" s="344" t="s">
        <v>13</v>
      </c>
      <c r="C19" s="345"/>
      <c r="D19" s="346"/>
      <c r="E19" s="20">
        <v>19997297.469999999</v>
      </c>
      <c r="F19" s="153"/>
      <c r="G19" s="33"/>
      <c r="H19" s="34"/>
      <c r="I19" s="30"/>
      <c r="J19" s="25">
        <v>46733.18</v>
      </c>
      <c r="K19" s="31" t="s">
        <v>14</v>
      </c>
      <c r="L19" s="13"/>
      <c r="M19" t="s">
        <v>20</v>
      </c>
    </row>
    <row r="20" spans="2:13">
      <c r="B20" s="187" t="s">
        <v>15</v>
      </c>
      <c r="C20" s="188"/>
      <c r="D20" s="189"/>
      <c r="E20" s="190">
        <f>SUM(E21:E22)</f>
        <v>88925.6</v>
      </c>
      <c r="F20" s="153"/>
      <c r="G20" s="361" t="s">
        <v>16</v>
      </c>
      <c r="H20" s="362"/>
      <c r="I20" s="36"/>
      <c r="J20" s="37"/>
      <c r="K20" s="38"/>
      <c r="L20" s="39"/>
    </row>
    <row r="21" spans="2:13">
      <c r="B21" s="187"/>
      <c r="C21" s="188"/>
      <c r="D21" s="198" t="s">
        <v>182</v>
      </c>
      <c r="E21" s="190">
        <v>88925.6</v>
      </c>
      <c r="F21" s="153">
        <f>SUM(E23:E29)</f>
        <v>93905</v>
      </c>
      <c r="G21" s="44">
        <v>13215.84</v>
      </c>
      <c r="H21" s="29" t="s">
        <v>10</v>
      </c>
      <c r="I21" s="30"/>
      <c r="J21" s="37"/>
      <c r="K21" s="45"/>
      <c r="L21" s="39"/>
    </row>
    <row r="22" spans="2:13">
      <c r="B22" s="206"/>
      <c r="C22" s="205"/>
      <c r="D22" s="208"/>
      <c r="E22" s="190">
        <v>0</v>
      </c>
      <c r="F22" s="153">
        <f>+F17-F21</f>
        <v>111057.63</v>
      </c>
      <c r="G22" s="44">
        <v>11818.67</v>
      </c>
      <c r="H22" s="29" t="s">
        <v>18</v>
      </c>
      <c r="I22" s="30"/>
      <c r="J22" s="50"/>
      <c r="K22" s="38"/>
      <c r="L22" s="39"/>
    </row>
    <row r="23" spans="2:13" ht="15" thickBot="1">
      <c r="B23" s="46" t="s">
        <v>17</v>
      </c>
      <c r="C23" s="47"/>
      <c r="D23" s="48"/>
      <c r="E23" s="234">
        <v>0</v>
      </c>
      <c r="F23" s="153"/>
      <c r="G23" s="51"/>
      <c r="H23" s="34"/>
      <c r="I23" s="30"/>
      <c r="J23" s="210"/>
      <c r="K23" s="53"/>
      <c r="L23" s="39"/>
    </row>
    <row r="24" spans="2:13" ht="15" thickBot="1">
      <c r="B24" s="202" t="s">
        <v>152</v>
      </c>
      <c r="C24" s="203"/>
      <c r="D24" s="204"/>
      <c r="E24" s="49">
        <v>8384</v>
      </c>
      <c r="F24" s="153"/>
      <c r="G24" s="331" t="s">
        <v>21</v>
      </c>
      <c r="H24" s="332"/>
      <c r="I24" s="332"/>
      <c r="J24" s="332"/>
      <c r="K24" s="333"/>
      <c r="L24" s="39"/>
    </row>
    <row r="25" spans="2:13">
      <c r="B25" s="199" t="s">
        <v>22</v>
      </c>
      <c r="C25" s="200"/>
      <c r="D25" s="201"/>
      <c r="E25" s="49">
        <v>5521</v>
      </c>
      <c r="F25" s="221"/>
      <c r="G25" s="54"/>
      <c r="H25" s="55"/>
      <c r="I25" s="56"/>
      <c r="J25" s="211"/>
      <c r="K25" s="58"/>
      <c r="L25" s="39"/>
    </row>
    <row r="26" spans="2:13">
      <c r="B26" s="199" t="s">
        <v>24</v>
      </c>
      <c r="C26" s="200"/>
      <c r="D26" s="201"/>
      <c r="E26" s="49">
        <v>80000</v>
      </c>
      <c r="F26" s="220"/>
      <c r="G26" s="347" t="s">
        <v>5</v>
      </c>
      <c r="H26" s="348"/>
      <c r="I26" s="59"/>
      <c r="J26" s="60"/>
      <c r="K26" s="45"/>
      <c r="L26" s="61"/>
    </row>
    <row r="27" spans="2:13">
      <c r="B27" s="199" t="s">
        <v>81</v>
      </c>
      <c r="C27" s="200"/>
      <c r="D27" s="201"/>
      <c r="E27" s="49">
        <v>0</v>
      </c>
      <c r="F27" s="220"/>
      <c r="G27" s="22">
        <f>31779.02-11500-8500</f>
        <v>11779.02</v>
      </c>
      <c r="H27" s="62" t="s">
        <v>9</v>
      </c>
      <c r="I27" s="59"/>
      <c r="J27" s="60"/>
      <c r="K27" s="45"/>
      <c r="L27" s="61"/>
    </row>
    <row r="28" spans="2:13">
      <c r="B28" s="344" t="s">
        <v>25</v>
      </c>
      <c r="C28" s="345"/>
      <c r="D28" s="346"/>
      <c r="E28" s="49">
        <v>0</v>
      </c>
      <c r="F28" s="220"/>
      <c r="G28" s="22">
        <v>4255.01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3" ht="15" thickBot="1">
      <c r="B29" s="363" t="s">
        <v>29</v>
      </c>
      <c r="C29" s="364"/>
      <c r="D29" s="365"/>
      <c r="E29" s="66">
        <v>0</v>
      </c>
      <c r="F29" s="220"/>
      <c r="G29" s="67">
        <v>1619.2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3" ht="15" thickBot="1">
      <c r="E30" s="61"/>
      <c r="F30" s="219"/>
      <c r="G30" s="71">
        <f>206621.63-254025.53+50000</f>
        <v>2596.1000000000058</v>
      </c>
      <c r="H30" s="72" t="s">
        <v>12</v>
      </c>
      <c r="I30" s="73"/>
      <c r="J30" s="74" t="s">
        <v>32</v>
      </c>
      <c r="K30" s="75" t="s">
        <v>33</v>
      </c>
      <c r="L30" s="61"/>
    </row>
    <row r="36" spans="5:7">
      <c r="E36" s="161" t="s">
        <v>183</v>
      </c>
      <c r="F36" s="197"/>
      <c r="G36" s="8"/>
    </row>
    <row r="37" spans="5:7">
      <c r="E37" s="161"/>
      <c r="F37" s="197"/>
      <c r="G37" s="8"/>
    </row>
    <row r="38" spans="5:7" s="61" customFormat="1" ht="15" customHeight="1">
      <c r="E38" s="61" t="s">
        <v>34</v>
      </c>
      <c r="F38" s="197">
        <f>F17</f>
        <v>204962.63</v>
      </c>
      <c r="G38" s="86">
        <v>1659693.86</v>
      </c>
    </row>
    <row r="39" spans="5:7" s="61" customFormat="1" ht="15" customHeight="1">
      <c r="E39" s="61" t="s">
        <v>35</v>
      </c>
      <c r="F39" s="197">
        <f>+E18</f>
        <v>20249.330000000009</v>
      </c>
      <c r="G39" s="86">
        <v>480000</v>
      </c>
    </row>
    <row r="40" spans="5:7" s="61" customFormat="1" ht="15" customHeight="1">
      <c r="E40" s="61" t="s">
        <v>36</v>
      </c>
      <c r="F40" s="197">
        <f>430000-170000</f>
        <v>260000</v>
      </c>
      <c r="G40" s="86"/>
    </row>
    <row r="41" spans="5:7" s="61" customFormat="1" ht="15" customHeight="1">
      <c r="E41" s="61" t="s">
        <v>37</v>
      </c>
      <c r="F41" s="197">
        <v>0</v>
      </c>
      <c r="G41" s="88"/>
    </row>
    <row r="42" spans="5:7" s="61" customFormat="1" ht="15" customHeight="1">
      <c r="E42" s="163" t="s">
        <v>38</v>
      </c>
      <c r="F42" s="229">
        <f>SUM(F38:F41)</f>
        <v>485211.96</v>
      </c>
      <c r="G42" s="13"/>
    </row>
    <row r="43" spans="5:7" s="61" customFormat="1" ht="15" customHeight="1">
      <c r="E43" s="165"/>
      <c r="F43" s="230"/>
      <c r="G43" s="13"/>
    </row>
    <row r="44" spans="5:7" s="61" customFormat="1" ht="15" customHeight="1">
      <c r="E44" s="165" t="s">
        <v>152</v>
      </c>
      <c r="F44" s="230">
        <f>110000+10000</f>
        <v>120000</v>
      </c>
      <c r="G44" s="13"/>
    </row>
    <row r="45" spans="5:7" s="61" customFormat="1" ht="15" customHeight="1">
      <c r="E45" s="165" t="s">
        <v>184</v>
      </c>
      <c r="F45" s="230">
        <v>30000</v>
      </c>
      <c r="G45" s="13"/>
    </row>
    <row r="46" spans="5:7" s="61" customFormat="1" ht="15" customHeight="1">
      <c r="E46" s="89" t="s">
        <v>185</v>
      </c>
      <c r="F46" s="219">
        <v>30000</v>
      </c>
    </row>
    <row r="47" spans="5:7" s="61" customFormat="1" ht="15" customHeight="1">
      <c r="E47" s="89" t="s">
        <v>117</v>
      </c>
      <c r="F47" s="219">
        <v>145000</v>
      </c>
      <c r="G47" s="166"/>
    </row>
    <row r="48" spans="5:7" s="61" customFormat="1" ht="15" customHeight="1">
      <c r="E48" s="91" t="s">
        <v>24</v>
      </c>
      <c r="F48" s="219">
        <f>15000+65000</f>
        <v>80000</v>
      </c>
    </row>
    <row r="49" spans="5:6" s="61" customFormat="1">
      <c r="E49" s="91" t="s">
        <v>22</v>
      </c>
      <c r="F49" s="219">
        <v>30000</v>
      </c>
    </row>
    <row r="50" spans="5:6" s="61" customFormat="1">
      <c r="E50" s="91" t="s">
        <v>40</v>
      </c>
      <c r="F50" s="219">
        <v>80000</v>
      </c>
    </row>
    <row r="51" spans="5:6" s="61" customFormat="1">
      <c r="E51" s="96" t="s">
        <v>41</v>
      </c>
      <c r="F51" s="231">
        <f>SUM(F44:F50)</f>
        <v>515000</v>
      </c>
    </row>
    <row r="52" spans="5:6" s="61" customFormat="1">
      <c r="E52" s="96" t="s">
        <v>42</v>
      </c>
      <c r="F52" s="231">
        <f>F42-F51</f>
        <v>-29788.039999999979</v>
      </c>
    </row>
    <row r="53" spans="5:6" s="61" customFormat="1">
      <c r="E53" s="83"/>
      <c r="F53" s="228"/>
    </row>
    <row r="54" spans="5:6" s="61" customFormat="1">
      <c r="E54" s="83" t="s">
        <v>43</v>
      </c>
      <c r="F54" s="228">
        <f>43800+180000</f>
        <v>223800</v>
      </c>
    </row>
    <row r="55" spans="5:6" s="61" customFormat="1">
      <c r="E55" s="83" t="s">
        <v>44</v>
      </c>
      <c r="F55" s="228">
        <f>100000+350000-20000-40000+165000</f>
        <v>555000</v>
      </c>
    </row>
    <row r="56" spans="5:6" s="61" customFormat="1">
      <c r="E56" s="83" t="s">
        <v>91</v>
      </c>
      <c r="F56" s="232">
        <v>231309.61</v>
      </c>
    </row>
    <row r="57" spans="5:6" s="61" customFormat="1">
      <c r="E57" s="96" t="s">
        <v>46</v>
      </c>
      <c r="F57" s="233">
        <f>SUM(F54:F56)</f>
        <v>1010109.61</v>
      </c>
    </row>
    <row r="58" spans="5:6" s="61" customFormat="1">
      <c r="E58" s="83"/>
      <c r="F58" s="228"/>
    </row>
    <row r="59" spans="5:6" s="61" customFormat="1">
      <c r="E59" s="96" t="s">
        <v>47</v>
      </c>
      <c r="F59" s="233">
        <f>F52-F57</f>
        <v>-1039897.6499999999</v>
      </c>
    </row>
  </sheetData>
  <mergeCells count="16">
    <mergeCell ref="G26:H26"/>
    <mergeCell ref="B28:D28"/>
    <mergeCell ref="B29:D29"/>
    <mergeCell ref="B16:D16"/>
    <mergeCell ref="B17:D17"/>
    <mergeCell ref="B18:D18"/>
    <mergeCell ref="B19:D19"/>
    <mergeCell ref="G20:H20"/>
    <mergeCell ref="G24:K24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C61D2-B28E-4F86-96C9-C7C0777D7999}">
  <dimension ref="B6:P59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1" s="8" customFormat="1" ht="18"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2:11">
      <c r="B7" s="1"/>
      <c r="C7" s="1"/>
      <c r="D7" s="1"/>
      <c r="E7" s="1"/>
      <c r="F7" s="215"/>
      <c r="G7" s="1"/>
      <c r="H7" s="1"/>
      <c r="I7" s="1"/>
      <c r="J7" s="76"/>
      <c r="K7" s="1"/>
    </row>
    <row r="8" spans="2:11">
      <c r="B8" s="1"/>
      <c r="C8" s="1"/>
      <c r="D8" s="1"/>
      <c r="E8" s="1"/>
      <c r="F8" s="215"/>
      <c r="G8" s="1"/>
      <c r="H8" s="1"/>
      <c r="I8" s="4"/>
      <c r="J8" s="76"/>
      <c r="K8" s="76"/>
    </row>
    <row r="9" spans="2:11">
      <c r="B9" s="1"/>
      <c r="C9" s="1"/>
      <c r="D9" s="1"/>
      <c r="E9" s="1"/>
      <c r="F9" s="215"/>
      <c r="G9" s="1"/>
      <c r="H9" s="1"/>
      <c r="I9" s="4"/>
      <c r="J9" s="76"/>
      <c r="K9" s="1"/>
    </row>
    <row r="10" spans="2:11" ht="18.5"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2:11" ht="15" thickBot="1"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2:11" ht="18" thickBot="1">
      <c r="B12" s="331" t="s">
        <v>2</v>
      </c>
      <c r="C12" s="332"/>
      <c r="D12" s="332"/>
      <c r="E12" s="333"/>
      <c r="F12" s="217"/>
      <c r="G12" s="1"/>
      <c r="H12" s="1"/>
      <c r="I12" s="1"/>
      <c r="J12" s="76"/>
      <c r="K12" s="1"/>
    </row>
    <row r="13" spans="2:11" ht="18" thickBot="1">
      <c r="B13" s="1"/>
      <c r="C13" s="1"/>
      <c r="D13" s="1"/>
      <c r="E13" s="1"/>
      <c r="F13" s="150"/>
      <c r="G13" s="11"/>
      <c r="H13" s="11"/>
      <c r="I13" s="11"/>
      <c r="J13" s="15"/>
      <c r="K13" s="16"/>
    </row>
    <row r="14" spans="2:11" ht="15" thickBot="1">
      <c r="B14" s="334" t="s">
        <v>3</v>
      </c>
      <c r="C14" s="335"/>
      <c r="D14" s="336"/>
      <c r="E14" s="17">
        <f>SUM(E15:E17)</f>
        <v>351333.99</v>
      </c>
      <c r="F14" s="153"/>
      <c r="G14" s="331" t="s">
        <v>4</v>
      </c>
      <c r="H14" s="332"/>
      <c r="I14" s="332"/>
      <c r="J14" s="332"/>
      <c r="K14" s="333"/>
    </row>
    <row r="15" spans="2:11">
      <c r="B15" s="337" t="s">
        <v>5</v>
      </c>
      <c r="C15" s="338"/>
      <c r="D15" s="339"/>
      <c r="E15" s="20">
        <f>J16+J17+J18+J19</f>
        <v>228522.01</v>
      </c>
      <c r="F15" s="153">
        <f>E15+E16+E17</f>
        <v>351333.99</v>
      </c>
      <c r="G15" s="340" t="s">
        <v>6</v>
      </c>
      <c r="H15" s="341"/>
      <c r="I15" s="21"/>
      <c r="J15" s="342" t="s">
        <v>5</v>
      </c>
      <c r="K15" s="343"/>
    </row>
    <row r="16" spans="2:11">
      <c r="B16" s="349" t="s">
        <v>7</v>
      </c>
      <c r="C16" s="350"/>
      <c r="D16" s="351"/>
      <c r="E16" s="20">
        <f>G21+G22</f>
        <v>25034.510000000002</v>
      </c>
      <c r="F16" s="153">
        <v>90000</v>
      </c>
      <c r="G16" s="22">
        <v>7185.19</v>
      </c>
      <c r="H16" s="23" t="s">
        <v>8</v>
      </c>
      <c r="I16" s="24"/>
      <c r="J16" s="25">
        <v>65040.67</v>
      </c>
      <c r="K16" s="26" t="s">
        <v>9</v>
      </c>
    </row>
    <row r="17" spans="2:13">
      <c r="B17" s="352" t="s">
        <v>6</v>
      </c>
      <c r="C17" s="353"/>
      <c r="D17" s="354"/>
      <c r="E17" s="28">
        <f>G16+G17+G18</f>
        <v>97777.47</v>
      </c>
      <c r="F17" s="153">
        <f>F15-F16</f>
        <v>261333.99</v>
      </c>
      <c r="G17" s="22">
        <v>9996.4599999999991</v>
      </c>
      <c r="H17" s="29" t="s">
        <v>10</v>
      </c>
      <c r="I17" s="30"/>
      <c r="J17" s="25">
        <v>67800.69</v>
      </c>
      <c r="K17" s="31" t="s">
        <v>10</v>
      </c>
      <c r="L17" s="13"/>
    </row>
    <row r="18" spans="2:13">
      <c r="B18" s="355" t="s">
        <v>11</v>
      </c>
      <c r="C18" s="356"/>
      <c r="D18" s="357"/>
      <c r="E18" s="20">
        <f>G28+G30+G29+G27</f>
        <v>20324.480000000003</v>
      </c>
      <c r="F18" s="153"/>
      <c r="G18" s="22">
        <v>80595.820000000007</v>
      </c>
      <c r="H18" s="29" t="s">
        <v>12</v>
      </c>
      <c r="I18" s="30"/>
      <c r="J18" s="25">
        <v>20055.849999999999</v>
      </c>
      <c r="K18" s="31" t="s">
        <v>12</v>
      </c>
      <c r="L18" s="32"/>
    </row>
    <row r="19" spans="2:13">
      <c r="B19" s="344" t="s">
        <v>13</v>
      </c>
      <c r="C19" s="345"/>
      <c r="D19" s="346"/>
      <c r="E19" s="20">
        <v>19850436.719999999</v>
      </c>
      <c r="F19" s="153"/>
      <c r="G19" s="33"/>
      <c r="H19" s="34"/>
      <c r="I19" s="30"/>
      <c r="J19" s="25">
        <v>75624.800000000003</v>
      </c>
      <c r="K19" s="31" t="s">
        <v>14</v>
      </c>
      <c r="L19" s="13"/>
      <c r="M19" t="s">
        <v>20</v>
      </c>
    </row>
    <row r="20" spans="2:13">
      <c r="B20" s="187" t="s">
        <v>15</v>
      </c>
      <c r="C20" s="188"/>
      <c r="D20" s="189"/>
      <c r="E20" s="190">
        <f>SUM(E21:E22)</f>
        <v>0</v>
      </c>
      <c r="F20" s="153"/>
      <c r="G20" s="361" t="s">
        <v>16</v>
      </c>
      <c r="H20" s="362"/>
      <c r="I20" s="36"/>
      <c r="J20" s="37"/>
      <c r="K20" s="38"/>
      <c r="L20" s="39"/>
    </row>
    <row r="21" spans="2:13">
      <c r="B21" s="187"/>
      <c r="C21" s="188"/>
      <c r="D21" s="198"/>
      <c r="E21" s="190">
        <v>0</v>
      </c>
      <c r="F21" s="153">
        <f>SUM(E23:E29)</f>
        <v>117235.96</v>
      </c>
      <c r="G21" s="44">
        <v>13215.84</v>
      </c>
      <c r="H21" s="29" t="s">
        <v>10</v>
      </c>
      <c r="I21" s="30"/>
      <c r="J21" s="37"/>
      <c r="K21" s="45"/>
      <c r="L21" s="39"/>
    </row>
    <row r="22" spans="2:13">
      <c r="B22" s="206"/>
      <c r="C22" s="205"/>
      <c r="D22" s="208"/>
      <c r="E22" s="190">
        <v>0</v>
      </c>
      <c r="F22" s="153">
        <f>+F17-F21</f>
        <v>144098.02999999997</v>
      </c>
      <c r="G22" s="44">
        <v>11818.67</v>
      </c>
      <c r="H22" s="29" t="s">
        <v>18</v>
      </c>
      <c r="I22" s="30"/>
      <c r="J22" s="50"/>
      <c r="K22" s="38"/>
      <c r="L22" s="39"/>
    </row>
    <row r="23" spans="2:13" ht="15" thickBot="1">
      <c r="B23" s="46" t="s">
        <v>17</v>
      </c>
      <c r="C23" s="47"/>
      <c r="D23" s="48"/>
      <c r="E23" s="234">
        <v>77643.16</v>
      </c>
      <c r="F23" s="153"/>
      <c r="G23" s="51"/>
      <c r="H23" s="34"/>
      <c r="I23" s="30"/>
      <c r="J23" s="210"/>
      <c r="K23" s="53"/>
      <c r="L23" s="39"/>
    </row>
    <row r="24" spans="2:13" ht="15" thickBot="1">
      <c r="B24" s="202" t="s">
        <v>184</v>
      </c>
      <c r="C24" s="203"/>
      <c r="D24" s="204"/>
      <c r="E24" s="49">
        <v>30000</v>
      </c>
      <c r="F24" s="153"/>
      <c r="G24" s="331" t="s">
        <v>21</v>
      </c>
      <c r="H24" s="332"/>
      <c r="I24" s="332"/>
      <c r="J24" s="332"/>
      <c r="K24" s="333"/>
      <c r="L24" s="39"/>
    </row>
    <row r="25" spans="2:13">
      <c r="B25" s="199" t="s">
        <v>22</v>
      </c>
      <c r="C25" s="200"/>
      <c r="D25" s="201"/>
      <c r="E25" s="49">
        <f>8907+685.8</f>
        <v>9592.7999999999993</v>
      </c>
      <c r="F25" s="221"/>
      <c r="G25" s="54"/>
      <c r="H25" s="55"/>
      <c r="I25" s="56"/>
      <c r="J25" s="211"/>
      <c r="K25" s="58"/>
      <c r="L25" s="39"/>
    </row>
    <row r="26" spans="2:13">
      <c r="B26" s="199" t="s">
        <v>24</v>
      </c>
      <c r="C26" s="200"/>
      <c r="D26" s="201"/>
      <c r="E26" s="49">
        <v>0</v>
      </c>
      <c r="F26" s="220"/>
      <c r="G26" s="347" t="s">
        <v>5</v>
      </c>
      <c r="H26" s="348"/>
      <c r="I26" s="59"/>
      <c r="J26" s="60"/>
      <c r="K26" s="45"/>
      <c r="L26" s="61"/>
    </row>
    <row r="27" spans="2:13">
      <c r="B27" s="199" t="s">
        <v>81</v>
      </c>
      <c r="C27" s="200"/>
      <c r="D27" s="201"/>
      <c r="E27" s="49">
        <v>0</v>
      </c>
      <c r="F27" s="220"/>
      <c r="G27" s="22">
        <f>31782.64-11500-8500</f>
        <v>11782.64</v>
      </c>
      <c r="H27" s="62" t="s">
        <v>9</v>
      </c>
      <c r="I27" s="59"/>
      <c r="J27" s="60"/>
      <c r="K27" s="45"/>
      <c r="L27" s="61"/>
    </row>
    <row r="28" spans="2:13">
      <c r="B28" s="344" t="s">
        <v>25</v>
      </c>
      <c r="C28" s="345"/>
      <c r="D28" s="346"/>
      <c r="E28" s="49">
        <v>0</v>
      </c>
      <c r="F28" s="220"/>
      <c r="G28" s="22">
        <v>4255.3999999999996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3" ht="15" thickBot="1">
      <c r="B29" s="363" t="s">
        <v>29</v>
      </c>
      <c r="C29" s="364"/>
      <c r="D29" s="365"/>
      <c r="E29" s="66">
        <v>0</v>
      </c>
      <c r="F29" s="220"/>
      <c r="G29" s="67">
        <v>1619.53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3" ht="15" thickBot="1">
      <c r="E30" s="61"/>
      <c r="F30" s="219"/>
      <c r="G30" s="71">
        <f>256692.44-254025.53</f>
        <v>2666.9100000000035</v>
      </c>
      <c r="H30" s="72" t="s">
        <v>12</v>
      </c>
      <c r="I30" s="73"/>
      <c r="J30" s="74" t="s">
        <v>32</v>
      </c>
      <c r="K30" s="75" t="s">
        <v>33</v>
      </c>
      <c r="L30" s="61"/>
    </row>
    <row r="36" spans="5:7">
      <c r="E36" s="181" t="s">
        <v>183</v>
      </c>
      <c r="F36" s="222"/>
      <c r="G36" s="8"/>
    </row>
    <row r="37" spans="5:7">
      <c r="E37" s="181"/>
      <c r="F37" s="222"/>
      <c r="G37" s="8"/>
    </row>
    <row r="38" spans="5:7" s="61" customFormat="1" ht="15" customHeight="1">
      <c r="E38" s="8" t="s">
        <v>34</v>
      </c>
      <c r="F38" s="222">
        <f>F17</f>
        <v>261333.99</v>
      </c>
      <c r="G38" s="86">
        <v>1659693.86</v>
      </c>
    </row>
    <row r="39" spans="5:7" s="61" customFormat="1" ht="15" customHeight="1">
      <c r="E39" s="8" t="s">
        <v>35</v>
      </c>
      <c r="F39" s="222">
        <f>+E18</f>
        <v>20324.480000000003</v>
      </c>
      <c r="G39" s="86">
        <v>480000</v>
      </c>
    </row>
    <row r="40" spans="5:7" s="61" customFormat="1" ht="15" customHeight="1">
      <c r="E40" s="8" t="s">
        <v>36</v>
      </c>
      <c r="F40" s="222">
        <f>430000-170000</f>
        <v>260000</v>
      </c>
      <c r="G40" s="86"/>
    </row>
    <row r="41" spans="5:7" s="61" customFormat="1" ht="15" customHeight="1">
      <c r="E41" s="8" t="s">
        <v>37</v>
      </c>
      <c r="F41" s="222">
        <v>0</v>
      </c>
      <c r="G41" s="88"/>
    </row>
    <row r="42" spans="5:7" s="61" customFormat="1" ht="15" customHeight="1">
      <c r="E42" s="182" t="s">
        <v>38</v>
      </c>
      <c r="F42" s="223">
        <f>SUM(F38:F41)</f>
        <v>541658.47</v>
      </c>
      <c r="G42" s="13"/>
    </row>
    <row r="43" spans="5:7" s="61" customFormat="1" ht="15" customHeight="1">
      <c r="E43" s="183"/>
      <c r="F43" s="224"/>
      <c r="G43" s="13"/>
    </row>
    <row r="44" spans="5:7" s="61" customFormat="1" ht="15" customHeight="1">
      <c r="E44" s="183" t="s">
        <v>152</v>
      </c>
      <c r="F44" s="224">
        <f>110000+10000</f>
        <v>120000</v>
      </c>
      <c r="G44" s="13"/>
    </row>
    <row r="45" spans="5:7" s="61" customFormat="1" ht="15" customHeight="1">
      <c r="E45" s="183" t="s">
        <v>184</v>
      </c>
      <c r="F45" s="224">
        <v>30000</v>
      </c>
      <c r="G45" s="13"/>
    </row>
    <row r="46" spans="5:7" s="61" customFormat="1" ht="15" customHeight="1">
      <c r="E46" s="114" t="s">
        <v>52</v>
      </c>
      <c r="F46" s="220">
        <v>30000</v>
      </c>
    </row>
    <row r="47" spans="5:7" s="61" customFormat="1" ht="15" customHeight="1">
      <c r="E47" s="114" t="s">
        <v>117</v>
      </c>
      <c r="F47" s="220">
        <v>145000</v>
      </c>
      <c r="G47" s="166"/>
    </row>
    <row r="48" spans="5:7" s="61" customFormat="1" ht="15" customHeight="1">
      <c r="E48" s="116" t="s">
        <v>24</v>
      </c>
      <c r="F48" s="220">
        <v>0</v>
      </c>
    </row>
    <row r="49" spans="5:6" s="61" customFormat="1">
      <c r="E49" s="116" t="s">
        <v>22</v>
      </c>
      <c r="F49" s="220">
        <v>30000</v>
      </c>
    </row>
    <row r="50" spans="5:6" s="61" customFormat="1">
      <c r="E50" s="116" t="s">
        <v>40</v>
      </c>
      <c r="F50" s="220">
        <f>80000-20000</f>
        <v>60000</v>
      </c>
    </row>
    <row r="51" spans="5:6" s="61" customFormat="1">
      <c r="E51" s="118" t="s">
        <v>41</v>
      </c>
      <c r="F51" s="225">
        <f>SUM(F44:F50)</f>
        <v>415000</v>
      </c>
    </row>
    <row r="52" spans="5:6" s="61" customFormat="1">
      <c r="E52" s="118" t="s">
        <v>42</v>
      </c>
      <c r="F52" s="225">
        <f>F42-F51</f>
        <v>126658.46999999997</v>
      </c>
    </row>
    <row r="53" spans="5:6" s="61" customFormat="1">
      <c r="E53" s="82"/>
      <c r="F53" s="221"/>
    </row>
    <row r="54" spans="5:6" s="61" customFormat="1">
      <c r="E54" s="82" t="s">
        <v>43</v>
      </c>
      <c r="F54" s="221">
        <f>43800+180000</f>
        <v>223800</v>
      </c>
    </row>
    <row r="55" spans="5:6" s="61" customFormat="1">
      <c r="E55" s="82" t="s">
        <v>44</v>
      </c>
      <c r="F55" s="221">
        <f>100000+350000-20000-40000+165000</f>
        <v>555000</v>
      </c>
    </row>
    <row r="56" spans="5:6" s="61" customFormat="1">
      <c r="E56" s="82" t="s">
        <v>91</v>
      </c>
      <c r="F56" s="226">
        <v>231454.25</v>
      </c>
    </row>
    <row r="57" spans="5:6" s="61" customFormat="1">
      <c r="E57" s="118" t="s">
        <v>46</v>
      </c>
      <c r="F57" s="227">
        <f>SUM(F54:F56)</f>
        <v>1010254.25</v>
      </c>
    </row>
    <row r="58" spans="5:6" s="61" customFormat="1">
      <c r="E58" s="82"/>
      <c r="F58" s="221"/>
    </row>
    <row r="59" spans="5:6" s="61" customFormat="1">
      <c r="E59" s="118" t="s">
        <v>47</v>
      </c>
      <c r="F59" s="227">
        <f>F52-F57</f>
        <v>-883595.78</v>
      </c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6:H26"/>
    <mergeCell ref="B28:D28"/>
    <mergeCell ref="B29:D29"/>
    <mergeCell ref="B16:D16"/>
    <mergeCell ref="B17:D17"/>
    <mergeCell ref="B18:D18"/>
    <mergeCell ref="B19:D19"/>
    <mergeCell ref="G20:H20"/>
    <mergeCell ref="G24:K24"/>
  </mergeCells>
  <pageMargins left="0.7" right="0.7" top="0.75" bottom="0.75" header="0.3" footer="0.3"/>
  <drawing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E955D-50CC-44C0-8776-1C0691EF3AD8}">
  <dimension ref="A6:P60"/>
  <sheetViews>
    <sheetView showGridLines="0" topLeftCell="A6" workbookViewId="0">
      <selection activeCell="A6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1:11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1">
      <c r="A7" s="1"/>
      <c r="B7" s="1"/>
      <c r="C7" s="1"/>
      <c r="D7" s="1"/>
      <c r="E7" s="1"/>
      <c r="F7" s="215"/>
      <c r="G7" s="1"/>
      <c r="H7" s="1"/>
      <c r="I7" s="1"/>
      <c r="J7" s="76"/>
      <c r="K7" s="1"/>
    </row>
    <row r="8" spans="1:11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1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1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1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1" ht="18" thickBot="1">
      <c r="A12" s="11"/>
      <c r="B12" s="331" t="s">
        <v>2</v>
      </c>
      <c r="C12" s="332"/>
      <c r="D12" s="332"/>
      <c r="E12" s="333"/>
      <c r="F12" s="217"/>
      <c r="G12" s="1"/>
      <c r="H12" s="1"/>
      <c r="I12" s="1"/>
      <c r="J12" s="76"/>
      <c r="K12" s="1"/>
    </row>
    <row r="13" spans="1:11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</row>
    <row r="14" spans="1:11" ht="15" thickBot="1">
      <c r="A14" s="1"/>
      <c r="B14" s="334" t="s">
        <v>3</v>
      </c>
      <c r="C14" s="335"/>
      <c r="D14" s="336"/>
      <c r="E14" s="17">
        <f>SUM(E15:E17)</f>
        <v>638979.77</v>
      </c>
      <c r="F14" s="150"/>
      <c r="G14" s="331" t="s">
        <v>4</v>
      </c>
      <c r="H14" s="332"/>
      <c r="I14" s="332"/>
      <c r="J14" s="332"/>
      <c r="K14" s="333"/>
    </row>
    <row r="15" spans="1:11">
      <c r="A15" s="1"/>
      <c r="B15" s="337" t="s">
        <v>5</v>
      </c>
      <c r="C15" s="338"/>
      <c r="D15" s="339"/>
      <c r="E15" s="20">
        <f>J16+J17+J18+J19</f>
        <v>563937.48</v>
      </c>
      <c r="F15" s="150">
        <f>E15+E16+E17</f>
        <v>638979.77</v>
      </c>
      <c r="G15" s="340" t="s">
        <v>6</v>
      </c>
      <c r="H15" s="341"/>
      <c r="I15" s="21"/>
      <c r="J15" s="342" t="s">
        <v>5</v>
      </c>
      <c r="K15" s="343"/>
    </row>
    <row r="16" spans="1:11">
      <c r="A16" s="1"/>
      <c r="B16" s="349" t="s">
        <v>7</v>
      </c>
      <c r="C16" s="350"/>
      <c r="D16" s="351"/>
      <c r="E16" s="20">
        <f>G22+G23</f>
        <v>25034.510000000002</v>
      </c>
      <c r="F16" s="150">
        <v>90000</v>
      </c>
      <c r="G16" s="22">
        <v>6883.59</v>
      </c>
      <c r="H16" s="23" t="s">
        <v>8</v>
      </c>
      <c r="I16" s="24"/>
      <c r="J16" s="25">
        <v>64871.31</v>
      </c>
      <c r="K16" s="26" t="s">
        <v>9</v>
      </c>
    </row>
    <row r="17" spans="2:13">
      <c r="B17" s="352" t="s">
        <v>6</v>
      </c>
      <c r="C17" s="353"/>
      <c r="D17" s="354"/>
      <c r="E17" s="28">
        <f>G16+G17+G18</f>
        <v>50007.78</v>
      </c>
      <c r="F17" s="150">
        <f>F15-F16</f>
        <v>548979.77</v>
      </c>
      <c r="G17" s="22">
        <v>13914.66</v>
      </c>
      <c r="H17" s="29" t="s">
        <v>10</v>
      </c>
      <c r="I17" s="30"/>
      <c r="J17" s="25">
        <f>619745.5-235000</f>
        <v>384745.5</v>
      </c>
      <c r="K17" s="31" t="s">
        <v>10</v>
      </c>
      <c r="L17" s="13"/>
    </row>
    <row r="18" spans="2:13">
      <c r="B18" s="236" t="s">
        <v>187</v>
      </c>
      <c r="C18" s="237"/>
      <c r="D18" s="238"/>
      <c r="E18" s="28">
        <f>+J22</f>
        <v>0</v>
      </c>
      <c r="F18" s="150"/>
      <c r="G18" s="22">
        <v>29209.53</v>
      </c>
      <c r="H18" s="29" t="s">
        <v>12</v>
      </c>
      <c r="I18" s="30"/>
      <c r="J18" s="25">
        <v>39195.85</v>
      </c>
      <c r="K18" s="31" t="s">
        <v>12</v>
      </c>
      <c r="L18" s="32"/>
    </row>
    <row r="19" spans="2:13">
      <c r="B19" s="379" t="s">
        <v>11</v>
      </c>
      <c r="C19" s="380"/>
      <c r="D19" s="381"/>
      <c r="E19" s="20">
        <f>G29+G31+G30+G28</f>
        <v>20392.720000000008</v>
      </c>
      <c r="F19" s="150"/>
      <c r="G19" s="33"/>
      <c r="H19" s="34"/>
      <c r="I19" s="30"/>
      <c r="J19" s="25">
        <v>75124.820000000007</v>
      </c>
      <c r="K19" s="31" t="s">
        <v>14</v>
      </c>
      <c r="L19" s="13"/>
      <c r="M19" t="s">
        <v>20</v>
      </c>
    </row>
    <row r="20" spans="2:13">
      <c r="B20" s="344" t="s">
        <v>13</v>
      </c>
      <c r="C20" s="345"/>
      <c r="D20" s="346"/>
      <c r="E20" s="20">
        <v>19679310.379999999</v>
      </c>
      <c r="F20" s="150"/>
      <c r="G20" s="239"/>
      <c r="H20" s="240"/>
      <c r="I20" s="30"/>
      <c r="J20" s="25"/>
      <c r="K20" s="31"/>
      <c r="L20" s="13"/>
    </row>
    <row r="21" spans="2:13">
      <c r="B21" s="187" t="s">
        <v>15</v>
      </c>
      <c r="C21" s="188"/>
      <c r="D21" s="189"/>
      <c r="E21" s="190">
        <f>SUM(E22:E23)</f>
        <v>601084.81000000006</v>
      </c>
      <c r="F21" s="150"/>
      <c r="G21" s="361" t="s">
        <v>16</v>
      </c>
      <c r="H21" s="362"/>
      <c r="I21" s="36"/>
      <c r="J21" s="241" t="s">
        <v>187</v>
      </c>
      <c r="K21" s="242"/>
      <c r="L21" s="39"/>
    </row>
    <row r="22" spans="2:13">
      <c r="B22" s="187"/>
      <c r="C22" s="188"/>
      <c r="D22" s="198" t="s">
        <v>186</v>
      </c>
      <c r="E22" s="190">
        <v>581944.81000000006</v>
      </c>
      <c r="F22" s="150">
        <f>SUM(E24:E30)</f>
        <v>122340.4</v>
      </c>
      <c r="G22" s="44">
        <v>13215.84</v>
      </c>
      <c r="H22" s="29" t="s">
        <v>10</v>
      </c>
      <c r="I22" s="30"/>
      <c r="J22" s="25">
        <v>0</v>
      </c>
      <c r="K22" s="31" t="s">
        <v>188</v>
      </c>
      <c r="L22" s="39"/>
    </row>
    <row r="23" spans="2:13">
      <c r="B23" s="206"/>
      <c r="C23" s="205"/>
      <c r="D23" s="208" t="s">
        <v>122</v>
      </c>
      <c r="E23" s="190">
        <v>19140</v>
      </c>
      <c r="F23" s="150">
        <f>+F17-F22</f>
        <v>426639.37</v>
      </c>
      <c r="G23" s="44">
        <v>11818.67</v>
      </c>
      <c r="H23" s="29" t="s">
        <v>18</v>
      </c>
      <c r="I23" s="30"/>
      <c r="J23" s="25"/>
      <c r="K23" s="31"/>
      <c r="L23" s="39"/>
    </row>
    <row r="24" spans="2:13" ht="15" thickBot="1">
      <c r="B24" s="46" t="s">
        <v>17</v>
      </c>
      <c r="C24" s="47"/>
      <c r="D24" s="48"/>
      <c r="E24" s="234">
        <v>0</v>
      </c>
      <c r="F24" s="150"/>
      <c r="G24" s="51"/>
      <c r="H24" s="34"/>
      <c r="I24" s="30"/>
      <c r="J24" s="210"/>
      <c r="K24" s="53"/>
      <c r="L24" s="39"/>
    </row>
    <row r="25" spans="2:13" ht="15" thickBot="1">
      <c r="B25" s="202" t="s">
        <v>163</v>
      </c>
      <c r="C25" s="203"/>
      <c r="D25" s="204"/>
      <c r="E25" s="49">
        <v>120000</v>
      </c>
      <c r="F25" s="150"/>
      <c r="G25" s="331" t="s">
        <v>21</v>
      </c>
      <c r="H25" s="332"/>
      <c r="I25" s="332"/>
      <c r="J25" s="332"/>
      <c r="K25" s="333"/>
      <c r="L25" s="39"/>
    </row>
    <row r="26" spans="2:13">
      <c r="B26" s="199" t="s">
        <v>22</v>
      </c>
      <c r="C26" s="200"/>
      <c r="D26" s="201"/>
      <c r="E26" s="49">
        <v>2340.4</v>
      </c>
      <c r="F26" s="228"/>
      <c r="G26" s="54"/>
      <c r="H26" s="55"/>
      <c r="I26" s="56"/>
      <c r="J26" s="211"/>
      <c r="K26" s="58"/>
      <c r="L26" s="39"/>
    </row>
    <row r="27" spans="2:13">
      <c r="B27" s="199" t="s">
        <v>24</v>
      </c>
      <c r="C27" s="200"/>
      <c r="D27" s="201"/>
      <c r="E27" s="49">
        <v>0</v>
      </c>
      <c r="F27" s="219"/>
      <c r="G27" s="377" t="s">
        <v>5</v>
      </c>
      <c r="H27" s="378"/>
      <c r="I27" s="59"/>
      <c r="J27" s="60"/>
      <c r="K27" s="45"/>
      <c r="L27" s="61"/>
    </row>
    <row r="28" spans="2:13">
      <c r="B28" s="199" t="s">
        <v>81</v>
      </c>
      <c r="C28" s="200"/>
      <c r="D28" s="201"/>
      <c r="E28" s="49">
        <v>0</v>
      </c>
      <c r="F28" s="219"/>
      <c r="G28" s="22">
        <f>31782.64-11500-8500</f>
        <v>11782.64</v>
      </c>
      <c r="H28" s="62" t="s">
        <v>9</v>
      </c>
      <c r="I28" s="59"/>
      <c r="J28" s="60"/>
      <c r="K28" s="45"/>
      <c r="L28" s="61"/>
    </row>
    <row r="29" spans="2:13">
      <c r="B29" s="344" t="s">
        <v>25</v>
      </c>
      <c r="C29" s="345"/>
      <c r="D29" s="346"/>
      <c r="E29" s="49">
        <v>0</v>
      </c>
      <c r="F29" s="219"/>
      <c r="G29" s="22">
        <v>4255.79</v>
      </c>
      <c r="H29" s="62" t="s">
        <v>26</v>
      </c>
      <c r="I29" s="63"/>
      <c r="J29" s="64" t="s">
        <v>27</v>
      </c>
      <c r="K29" s="65" t="s">
        <v>28</v>
      </c>
      <c r="L29" s="61"/>
    </row>
    <row r="30" spans="2:13" ht="15" thickBot="1">
      <c r="B30" s="363" t="s">
        <v>29</v>
      </c>
      <c r="C30" s="364"/>
      <c r="D30" s="365"/>
      <c r="E30" s="66">
        <v>0</v>
      </c>
      <c r="F30" s="219"/>
      <c r="G30" s="67">
        <v>1619.84</v>
      </c>
      <c r="H30" s="68" t="s">
        <v>14</v>
      </c>
      <c r="I30" s="63"/>
      <c r="J30" s="64" t="s">
        <v>30</v>
      </c>
      <c r="K30" s="65" t="s">
        <v>31</v>
      </c>
      <c r="L30" s="61"/>
    </row>
    <row r="31" spans="2:13" ht="15" thickBot="1">
      <c r="E31" s="61"/>
      <c r="F31" s="219"/>
      <c r="G31" s="71">
        <f>256759.98-254025.53</f>
        <v>2734.4500000000116</v>
      </c>
      <c r="H31" s="72" t="s">
        <v>12</v>
      </c>
      <c r="I31" s="73"/>
      <c r="J31" s="74" t="s">
        <v>32</v>
      </c>
      <c r="K31" s="75" t="s">
        <v>33</v>
      </c>
      <c r="L31" s="61"/>
    </row>
    <row r="37" spans="5:7">
      <c r="E37" s="161" t="s">
        <v>183</v>
      </c>
      <c r="F37" s="197"/>
      <c r="G37" s="8"/>
    </row>
    <row r="38" spans="5:7" s="61" customFormat="1" ht="15" customHeight="1">
      <c r="E38" s="161"/>
      <c r="F38" s="197"/>
      <c r="G38" s="8"/>
    </row>
    <row r="39" spans="5:7" s="61" customFormat="1" ht="15" customHeight="1">
      <c r="E39" s="61" t="s">
        <v>34</v>
      </c>
      <c r="F39" s="197">
        <f>F17</f>
        <v>548979.77</v>
      </c>
      <c r="G39" s="86">
        <v>1659693.86</v>
      </c>
    </row>
    <row r="40" spans="5:7" s="61" customFormat="1" ht="15" customHeight="1">
      <c r="E40" s="61" t="s">
        <v>35</v>
      </c>
      <c r="F40" s="197">
        <f>+E19</f>
        <v>20392.720000000008</v>
      </c>
      <c r="G40" s="86">
        <v>480000</v>
      </c>
    </row>
    <row r="41" spans="5:7" s="61" customFormat="1" ht="15" customHeight="1">
      <c r="E41" s="61" t="s">
        <v>36</v>
      </c>
      <c r="F41" s="197">
        <v>0</v>
      </c>
      <c r="G41" s="86"/>
    </row>
    <row r="42" spans="5:7" s="61" customFormat="1" ht="15" customHeight="1">
      <c r="E42" s="61" t="s">
        <v>37</v>
      </c>
      <c r="F42" s="197">
        <v>0</v>
      </c>
      <c r="G42" s="88"/>
    </row>
    <row r="43" spans="5:7" s="61" customFormat="1" ht="15" customHeight="1">
      <c r="E43" s="163" t="s">
        <v>38</v>
      </c>
      <c r="F43" s="229">
        <f>SUM(F39:F42)</f>
        <v>569372.49</v>
      </c>
      <c r="G43" s="13"/>
    </row>
    <row r="44" spans="5:7" s="61" customFormat="1" ht="15" customHeight="1">
      <c r="E44" s="165"/>
      <c r="F44" s="230"/>
      <c r="G44" s="13"/>
    </row>
    <row r="45" spans="5:7" s="61" customFormat="1" ht="15" customHeight="1">
      <c r="E45" s="165" t="s">
        <v>152</v>
      </c>
      <c r="F45" s="230">
        <f>110000+10000</f>
        <v>120000</v>
      </c>
      <c r="G45" s="13"/>
    </row>
    <row r="46" spans="5:7" s="61" customFormat="1" ht="15" customHeight="1">
      <c r="E46" s="165" t="s">
        <v>184</v>
      </c>
      <c r="F46" s="230">
        <v>0</v>
      </c>
      <c r="G46" s="13"/>
    </row>
    <row r="47" spans="5:7" s="61" customFormat="1" ht="15" customHeight="1">
      <c r="E47" s="89" t="s">
        <v>52</v>
      </c>
      <c r="F47" s="219">
        <v>30000</v>
      </c>
    </row>
    <row r="48" spans="5:7" s="61" customFormat="1" ht="15" customHeight="1">
      <c r="E48" s="89" t="s">
        <v>117</v>
      </c>
      <c r="F48" s="219">
        <v>145000</v>
      </c>
      <c r="G48" s="166"/>
    </row>
    <row r="49" spans="5:6" s="61" customFormat="1">
      <c r="E49" s="91" t="s">
        <v>24</v>
      </c>
      <c r="F49" s="219">
        <v>0</v>
      </c>
    </row>
    <row r="50" spans="5:6" s="61" customFormat="1">
      <c r="E50" s="91" t="s">
        <v>22</v>
      </c>
      <c r="F50" s="219">
        <v>22000</v>
      </c>
    </row>
    <row r="51" spans="5:6" s="61" customFormat="1">
      <c r="E51" s="91" t="s">
        <v>40</v>
      </c>
      <c r="F51" s="219">
        <v>25000</v>
      </c>
    </row>
    <row r="52" spans="5:6" s="61" customFormat="1">
      <c r="E52" s="96" t="s">
        <v>41</v>
      </c>
      <c r="F52" s="231">
        <f>SUM(F45:F51)</f>
        <v>342000</v>
      </c>
    </row>
    <row r="53" spans="5:6" s="61" customFormat="1">
      <c r="E53" s="96" t="s">
        <v>42</v>
      </c>
      <c r="F53" s="231">
        <f>F43-F52</f>
        <v>227372.49</v>
      </c>
    </row>
    <row r="54" spans="5:6" s="61" customFormat="1">
      <c r="E54" s="83"/>
      <c r="F54" s="228"/>
    </row>
    <row r="55" spans="5:6" s="61" customFormat="1">
      <c r="E55" s="83" t="s">
        <v>43</v>
      </c>
      <c r="F55" s="228">
        <f>43800+180000</f>
        <v>223800</v>
      </c>
    </row>
    <row r="56" spans="5:6" s="61" customFormat="1">
      <c r="E56" s="83" t="s">
        <v>44</v>
      </c>
      <c r="F56" s="228">
        <f>100000+350000-20000-40000+165000</f>
        <v>555000</v>
      </c>
    </row>
    <row r="57" spans="5:6" s="61" customFormat="1">
      <c r="E57" s="83" t="s">
        <v>91</v>
      </c>
      <c r="F57" s="232">
        <v>0</v>
      </c>
    </row>
    <row r="58" spans="5:6" s="61" customFormat="1">
      <c r="E58" s="96" t="s">
        <v>46</v>
      </c>
      <c r="F58" s="233">
        <f>SUM(F55:F57)</f>
        <v>778800</v>
      </c>
    </row>
    <row r="59" spans="5:6" s="61" customFormat="1">
      <c r="E59" s="83"/>
      <c r="F59" s="228"/>
    </row>
    <row r="60" spans="5:6">
      <c r="E60" s="96" t="s">
        <v>47</v>
      </c>
      <c r="F60" s="233">
        <f>F53-F58</f>
        <v>-551427.51</v>
      </c>
    </row>
  </sheetData>
  <mergeCells count="16">
    <mergeCell ref="G27:H27"/>
    <mergeCell ref="B29:D29"/>
    <mergeCell ref="B30:D30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721F2-355F-403C-A919-28332CC68DAC}">
  <dimension ref="A6:P60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1:11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1">
      <c r="A7" s="1"/>
      <c r="B7" s="1"/>
      <c r="C7" s="1"/>
      <c r="D7" s="1"/>
      <c r="E7" s="1"/>
      <c r="F7" s="215"/>
      <c r="G7" s="1"/>
      <c r="H7" s="1"/>
      <c r="I7" s="1"/>
      <c r="J7" s="76"/>
      <c r="K7" s="1"/>
    </row>
    <row r="8" spans="1:11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1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1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1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1" ht="18" thickBot="1">
      <c r="A12" s="11"/>
      <c r="B12" s="331" t="s">
        <v>2</v>
      </c>
      <c r="C12" s="332"/>
      <c r="D12" s="332"/>
      <c r="E12" s="333"/>
      <c r="F12" s="217"/>
      <c r="G12" s="1"/>
      <c r="H12" s="1"/>
      <c r="I12" s="1"/>
      <c r="J12" s="76"/>
      <c r="K12" s="1"/>
    </row>
    <row r="13" spans="1:11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</row>
    <row r="14" spans="1:11" ht="15" thickBot="1">
      <c r="A14" s="1"/>
      <c r="B14" s="334" t="s">
        <v>3</v>
      </c>
      <c r="C14" s="335"/>
      <c r="D14" s="336"/>
      <c r="E14" s="17">
        <f>SUM(E15:E17)</f>
        <v>1573097.06</v>
      </c>
      <c r="F14" s="150"/>
      <c r="G14" s="331" t="s">
        <v>4</v>
      </c>
      <c r="H14" s="332"/>
      <c r="I14" s="332"/>
      <c r="J14" s="332"/>
      <c r="K14" s="333"/>
    </row>
    <row r="15" spans="1:11">
      <c r="A15" s="1"/>
      <c r="B15" s="337" t="s">
        <v>5</v>
      </c>
      <c r="C15" s="338"/>
      <c r="D15" s="339"/>
      <c r="E15" s="20">
        <f>J16+J17+J18+J19</f>
        <v>1500861.1700000002</v>
      </c>
      <c r="F15" s="153">
        <f>E15+E16+E17</f>
        <v>1573097.06</v>
      </c>
      <c r="G15" s="340" t="s">
        <v>6</v>
      </c>
      <c r="H15" s="341"/>
      <c r="I15" s="21"/>
      <c r="J15" s="342" t="s">
        <v>5</v>
      </c>
      <c r="K15" s="343"/>
    </row>
    <row r="16" spans="1:11">
      <c r="A16" s="1"/>
      <c r="B16" s="349" t="s">
        <v>7</v>
      </c>
      <c r="C16" s="350"/>
      <c r="D16" s="351"/>
      <c r="E16" s="20">
        <f>G22+G23</f>
        <v>25034.510000000002</v>
      </c>
      <c r="F16" s="153">
        <v>90000</v>
      </c>
      <c r="G16" s="22">
        <v>6883.59</v>
      </c>
      <c r="H16" s="23" t="s">
        <v>8</v>
      </c>
      <c r="I16" s="24"/>
      <c r="J16" s="25">
        <v>64871.31</v>
      </c>
      <c r="K16" s="26" t="s">
        <v>9</v>
      </c>
    </row>
    <row r="17" spans="2:13">
      <c r="B17" s="352" t="s">
        <v>6</v>
      </c>
      <c r="C17" s="353"/>
      <c r="D17" s="354"/>
      <c r="E17" s="28">
        <f>G16+G17+G18</f>
        <v>47201.38</v>
      </c>
      <c r="F17" s="153">
        <f>F15-F16</f>
        <v>1483097.06</v>
      </c>
      <c r="G17" s="22">
        <v>11108.26</v>
      </c>
      <c r="H17" s="29" t="s">
        <v>10</v>
      </c>
      <c r="I17" s="30"/>
      <c r="J17" s="25">
        <f>619745.5-235000-200000</f>
        <v>184745.5</v>
      </c>
      <c r="K17" s="31" t="s">
        <v>10</v>
      </c>
      <c r="L17" s="13"/>
    </row>
    <row r="18" spans="2:13">
      <c r="B18" s="236" t="s">
        <v>187</v>
      </c>
      <c r="C18" s="237"/>
      <c r="D18" s="238"/>
      <c r="E18" s="28">
        <f>+J22</f>
        <v>0</v>
      </c>
      <c r="F18" s="153"/>
      <c r="G18" s="22">
        <v>29209.53</v>
      </c>
      <c r="H18" s="29" t="s">
        <v>12</v>
      </c>
      <c r="I18" s="30"/>
      <c r="J18" s="25">
        <v>1112951.3700000001</v>
      </c>
      <c r="K18" s="31" t="s">
        <v>12</v>
      </c>
      <c r="L18" s="32"/>
    </row>
    <row r="19" spans="2:13">
      <c r="B19" s="379" t="s">
        <v>11</v>
      </c>
      <c r="C19" s="380"/>
      <c r="D19" s="381"/>
      <c r="E19" s="20">
        <f>G29+G31+G30+G28</f>
        <v>20461.740000000009</v>
      </c>
      <c r="F19" s="153"/>
      <c r="G19" s="33"/>
      <c r="H19" s="34"/>
      <c r="I19" s="30"/>
      <c r="J19" s="25">
        <v>138292.99</v>
      </c>
      <c r="K19" s="31" t="s">
        <v>14</v>
      </c>
      <c r="L19" s="13"/>
      <c r="M19" t="s">
        <v>20</v>
      </c>
    </row>
    <row r="20" spans="2:13">
      <c r="B20" s="344" t="s">
        <v>13</v>
      </c>
      <c r="C20" s="345"/>
      <c r="D20" s="346"/>
      <c r="E20" s="20">
        <v>18841866.09</v>
      </c>
      <c r="F20" s="153"/>
      <c r="G20" s="239"/>
      <c r="H20" s="240"/>
      <c r="I20" s="30"/>
      <c r="J20" s="25"/>
      <c r="K20" s="31"/>
      <c r="L20" s="13"/>
    </row>
    <row r="21" spans="2:13">
      <c r="B21" s="187" t="s">
        <v>15</v>
      </c>
      <c r="C21" s="188"/>
      <c r="D21" s="189"/>
      <c r="E21" s="190">
        <f>SUM(E22:E23)</f>
        <v>1149000.25</v>
      </c>
      <c r="F21" s="153"/>
      <c r="G21" s="361" t="s">
        <v>16</v>
      </c>
      <c r="H21" s="362"/>
      <c r="I21" s="36"/>
      <c r="J21" s="241" t="s">
        <v>187</v>
      </c>
      <c r="K21" s="242"/>
      <c r="L21" s="39"/>
    </row>
    <row r="22" spans="2:13">
      <c r="B22" s="187"/>
      <c r="C22" s="188"/>
      <c r="D22" s="198" t="s">
        <v>159</v>
      </c>
      <c r="E22" s="190">
        <v>75244.73</v>
      </c>
      <c r="F22" s="153">
        <f>SUM(E24:E30)</f>
        <v>668087.12</v>
      </c>
      <c r="G22" s="44">
        <v>13215.84</v>
      </c>
      <c r="H22" s="29" t="s">
        <v>10</v>
      </c>
      <c r="I22" s="30"/>
      <c r="J22" s="25">
        <v>0</v>
      </c>
      <c r="K22" s="31" t="s">
        <v>188</v>
      </c>
      <c r="L22" s="39"/>
    </row>
    <row r="23" spans="2:13">
      <c r="B23" s="206"/>
      <c r="C23" s="205"/>
      <c r="D23" s="208" t="s">
        <v>159</v>
      </c>
      <c r="E23" s="190">
        <v>1073755.52</v>
      </c>
      <c r="F23" s="153">
        <f>+F17-F22</f>
        <v>815009.94000000006</v>
      </c>
      <c r="G23" s="44">
        <v>11818.67</v>
      </c>
      <c r="H23" s="29" t="s">
        <v>18</v>
      </c>
      <c r="I23" s="30"/>
      <c r="J23" s="25"/>
      <c r="K23" s="31"/>
      <c r="L23" s="39"/>
    </row>
    <row r="24" spans="2:13" ht="15" thickBot="1">
      <c r="B24" s="46" t="s">
        <v>17</v>
      </c>
      <c r="C24" s="47"/>
      <c r="D24" s="48"/>
      <c r="E24" s="234">
        <v>510891.52000000002</v>
      </c>
      <c r="F24" s="153"/>
      <c r="G24" s="51"/>
      <c r="H24" s="34"/>
      <c r="I24" s="30"/>
      <c r="J24" s="210"/>
      <c r="K24" s="53"/>
      <c r="L24" s="39"/>
    </row>
    <row r="25" spans="2:13" ht="15" thickBot="1">
      <c r="B25" s="202" t="s">
        <v>163</v>
      </c>
      <c r="C25" s="203"/>
      <c r="D25" s="204"/>
      <c r="E25" s="49">
        <v>120000</v>
      </c>
      <c r="F25" s="153"/>
      <c r="G25" s="331" t="s">
        <v>21</v>
      </c>
      <c r="H25" s="332"/>
      <c r="I25" s="332"/>
      <c r="J25" s="332"/>
      <c r="K25" s="333"/>
      <c r="L25" s="39"/>
    </row>
    <row r="26" spans="2:13">
      <c r="B26" s="199" t="s">
        <v>22</v>
      </c>
      <c r="C26" s="200"/>
      <c r="D26" s="201"/>
      <c r="E26" s="49">
        <v>7195.6</v>
      </c>
      <c r="F26" s="221"/>
      <c r="G26" s="54"/>
      <c r="H26" s="55"/>
      <c r="I26" s="56"/>
      <c r="J26" s="211"/>
      <c r="K26" s="58"/>
      <c r="L26" s="39"/>
    </row>
    <row r="27" spans="2:13">
      <c r="B27" s="199" t="s">
        <v>24</v>
      </c>
      <c r="C27" s="200"/>
      <c r="D27" s="201"/>
      <c r="E27" s="49">
        <v>0</v>
      </c>
      <c r="F27" s="220"/>
      <c r="G27" s="377" t="s">
        <v>5</v>
      </c>
      <c r="H27" s="378"/>
      <c r="I27" s="59"/>
      <c r="J27" s="60"/>
      <c r="K27" s="45"/>
      <c r="L27" s="61"/>
    </row>
    <row r="28" spans="2:13">
      <c r="B28" s="199" t="s">
        <v>52</v>
      </c>
      <c r="C28" s="200"/>
      <c r="D28" s="201"/>
      <c r="E28" s="49">
        <v>30000</v>
      </c>
      <c r="F28" s="220"/>
      <c r="G28" s="22">
        <f>31782.64-11500-8500</f>
        <v>11782.64</v>
      </c>
      <c r="H28" s="62" t="s">
        <v>9</v>
      </c>
      <c r="I28" s="59"/>
      <c r="J28" s="60"/>
      <c r="K28" s="45"/>
      <c r="L28" s="61"/>
    </row>
    <row r="29" spans="2:13">
      <c r="B29" s="344" t="s">
        <v>25</v>
      </c>
      <c r="C29" s="345"/>
      <c r="D29" s="346"/>
      <c r="E29" s="49">
        <v>0</v>
      </c>
      <c r="F29" s="220"/>
      <c r="G29" s="22">
        <v>4256.18</v>
      </c>
      <c r="H29" s="62" t="s">
        <v>26</v>
      </c>
      <c r="I29" s="63"/>
      <c r="J29" s="64" t="s">
        <v>27</v>
      </c>
      <c r="K29" s="65" t="s">
        <v>28</v>
      </c>
      <c r="L29" s="61"/>
    </row>
    <row r="30" spans="2:13" ht="15" thickBot="1">
      <c r="B30" s="363" t="s">
        <v>29</v>
      </c>
      <c r="C30" s="364"/>
      <c r="D30" s="365"/>
      <c r="E30" s="66">
        <v>0</v>
      </c>
      <c r="F30" s="220"/>
      <c r="G30" s="67">
        <v>1620.16</v>
      </c>
      <c r="H30" s="68" t="s">
        <v>14</v>
      </c>
      <c r="I30" s="63"/>
      <c r="J30" s="64" t="s">
        <v>30</v>
      </c>
      <c r="K30" s="65" t="s">
        <v>31</v>
      </c>
      <c r="L30" s="61"/>
    </row>
    <row r="31" spans="2:13" ht="15" thickBot="1">
      <c r="E31" s="61"/>
      <c r="F31" s="220"/>
      <c r="G31" s="71">
        <f>256828.29-254025.53</f>
        <v>2802.7600000000093</v>
      </c>
      <c r="H31" s="72" t="s">
        <v>12</v>
      </c>
      <c r="I31" s="73"/>
      <c r="J31" s="74" t="s">
        <v>32</v>
      </c>
      <c r="K31" s="75" t="s">
        <v>33</v>
      </c>
      <c r="L31" s="61"/>
    </row>
    <row r="37" spans="5:7">
      <c r="E37" s="181" t="s">
        <v>183</v>
      </c>
      <c r="F37" s="222"/>
      <c r="G37" s="8"/>
    </row>
    <row r="38" spans="5:7" s="61" customFormat="1" ht="15" customHeight="1">
      <c r="E38" s="181"/>
      <c r="F38" s="222"/>
      <c r="G38" s="8"/>
    </row>
    <row r="39" spans="5:7" s="61" customFormat="1" ht="15" customHeight="1">
      <c r="E39" s="8" t="s">
        <v>34</v>
      </c>
      <c r="F39" s="222">
        <f>F17</f>
        <v>1483097.06</v>
      </c>
      <c r="G39" s="86">
        <v>1659693.86</v>
      </c>
    </row>
    <row r="40" spans="5:7" s="61" customFormat="1" ht="15" customHeight="1">
      <c r="E40" s="8" t="s">
        <v>35</v>
      </c>
      <c r="F40" s="222">
        <f>+E19</f>
        <v>20461.740000000009</v>
      </c>
      <c r="G40" s="86">
        <v>480000</v>
      </c>
    </row>
    <row r="41" spans="5:7" s="61" customFormat="1" ht="15" customHeight="1">
      <c r="E41" s="8" t="s">
        <v>36</v>
      </c>
      <c r="F41" s="222">
        <v>0</v>
      </c>
      <c r="G41" s="86"/>
    </row>
    <row r="42" spans="5:7" s="61" customFormat="1" ht="15" customHeight="1">
      <c r="E42" s="8" t="s">
        <v>37</v>
      </c>
      <c r="F42" s="222">
        <v>0</v>
      </c>
      <c r="G42" s="88"/>
    </row>
    <row r="43" spans="5:7" s="61" customFormat="1" ht="15" customHeight="1">
      <c r="E43" s="182" t="s">
        <v>38</v>
      </c>
      <c r="F43" s="223">
        <f>SUM(F39:F42)</f>
        <v>1503558.8</v>
      </c>
      <c r="G43" s="13"/>
    </row>
    <row r="44" spans="5:7" s="61" customFormat="1" ht="15" customHeight="1">
      <c r="E44" s="183"/>
      <c r="F44" s="224"/>
      <c r="G44" s="13"/>
    </row>
    <row r="45" spans="5:7" s="61" customFormat="1" ht="15" customHeight="1">
      <c r="E45" s="183" t="s">
        <v>152</v>
      </c>
      <c r="F45" s="224">
        <f>110000+10000</f>
        <v>120000</v>
      </c>
      <c r="G45" s="13"/>
    </row>
    <row r="46" spans="5:7" s="61" customFormat="1" ht="15" customHeight="1">
      <c r="E46" s="183" t="s">
        <v>184</v>
      </c>
      <c r="F46" s="224">
        <v>0</v>
      </c>
      <c r="G46" s="13"/>
    </row>
    <row r="47" spans="5:7" s="61" customFormat="1" ht="15" customHeight="1">
      <c r="E47" s="114" t="s">
        <v>52</v>
      </c>
      <c r="F47" s="220">
        <v>30000</v>
      </c>
    </row>
    <row r="48" spans="5:7" s="61" customFormat="1" ht="15" customHeight="1">
      <c r="E48" s="114" t="s">
        <v>117</v>
      </c>
      <c r="F48" s="220">
        <v>145000</v>
      </c>
      <c r="G48" s="166"/>
    </row>
    <row r="49" spans="5:6" s="61" customFormat="1">
      <c r="E49" s="116" t="s">
        <v>24</v>
      </c>
      <c r="F49" s="220">
        <v>0</v>
      </c>
    </row>
    <row r="50" spans="5:6" s="61" customFormat="1">
      <c r="E50" s="116" t="s">
        <v>22</v>
      </c>
      <c r="F50" s="220">
        <v>22000</v>
      </c>
    </row>
    <row r="51" spans="5:6" s="61" customFormat="1">
      <c r="E51" s="116" t="s">
        <v>40</v>
      </c>
      <c r="F51" s="220">
        <v>25000</v>
      </c>
    </row>
    <row r="52" spans="5:6" s="61" customFormat="1">
      <c r="E52" s="118" t="s">
        <v>41</v>
      </c>
      <c r="F52" s="225">
        <f>SUM(F45:F51)</f>
        <v>342000</v>
      </c>
    </row>
    <row r="53" spans="5:6" s="61" customFormat="1">
      <c r="E53" s="118" t="s">
        <v>42</v>
      </c>
      <c r="F53" s="225">
        <f>F43-F52</f>
        <v>1161558.8</v>
      </c>
    </row>
    <row r="54" spans="5:6" s="61" customFormat="1">
      <c r="E54" s="82"/>
      <c r="F54" s="221"/>
    </row>
    <row r="55" spans="5:6" s="61" customFormat="1">
      <c r="E55" s="82" t="s">
        <v>43</v>
      </c>
      <c r="F55" s="221">
        <f>43800+180000</f>
        <v>223800</v>
      </c>
    </row>
    <row r="56" spans="5:6" s="61" customFormat="1">
      <c r="E56" s="82" t="s">
        <v>44</v>
      </c>
      <c r="F56" s="221">
        <f>100000+350000-20000-40000+165000+10000</f>
        <v>565000</v>
      </c>
    </row>
    <row r="57" spans="5:6" s="61" customFormat="1">
      <c r="E57" s="82" t="s">
        <v>91</v>
      </c>
      <c r="F57" s="226">
        <v>0</v>
      </c>
    </row>
    <row r="58" spans="5:6" s="61" customFormat="1">
      <c r="E58" s="118" t="s">
        <v>46</v>
      </c>
      <c r="F58" s="227">
        <f>SUM(F55:F57)</f>
        <v>788800</v>
      </c>
    </row>
    <row r="59" spans="5:6" s="61" customFormat="1">
      <c r="E59" s="82"/>
      <c r="F59" s="221"/>
    </row>
    <row r="60" spans="5:6">
      <c r="E60" s="118" t="s">
        <v>47</v>
      </c>
      <c r="F60" s="227">
        <f>F53-F58</f>
        <v>372758.80000000005</v>
      </c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29:D29"/>
    <mergeCell ref="B30:D30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2737E-ADA6-4AAD-B8B3-5C95FF54A7AA}">
  <dimension ref="A6:P69"/>
  <sheetViews>
    <sheetView showGridLines="0" topLeftCell="A9" workbookViewId="0">
      <selection activeCell="A9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1:11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1">
      <c r="A7" s="1"/>
      <c r="B7" s="1"/>
      <c r="C7" s="1"/>
      <c r="D7" s="1"/>
      <c r="E7" s="1"/>
      <c r="F7" s="215"/>
      <c r="G7" s="1"/>
      <c r="H7" s="1"/>
      <c r="I7" s="1"/>
      <c r="J7" s="76"/>
      <c r="K7" s="1"/>
    </row>
    <row r="8" spans="1:11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1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1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1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1" ht="18" thickBot="1">
      <c r="A12" s="11"/>
      <c r="B12" s="331" t="s">
        <v>2</v>
      </c>
      <c r="C12" s="332"/>
      <c r="D12" s="332"/>
      <c r="E12" s="333"/>
      <c r="F12" s="217"/>
      <c r="G12" s="1"/>
      <c r="H12" s="1"/>
      <c r="I12" s="1"/>
      <c r="J12" s="76"/>
      <c r="K12" s="1"/>
    </row>
    <row r="13" spans="1:11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</row>
    <row r="14" spans="1:11" ht="15" thickBot="1">
      <c r="A14" s="1"/>
      <c r="B14" s="334" t="s">
        <v>3</v>
      </c>
      <c r="C14" s="335"/>
      <c r="D14" s="336"/>
      <c r="E14" s="17">
        <f>SUM(E15:E17)</f>
        <v>1227553.9800000002</v>
      </c>
      <c r="F14" s="150"/>
      <c r="G14" s="331" t="s">
        <v>4</v>
      </c>
      <c r="H14" s="332"/>
      <c r="I14" s="332"/>
      <c r="J14" s="332"/>
      <c r="K14" s="333"/>
    </row>
    <row r="15" spans="1:11">
      <c r="A15" s="1"/>
      <c r="B15" s="337" t="s">
        <v>5</v>
      </c>
      <c r="C15" s="338"/>
      <c r="D15" s="339"/>
      <c r="E15" s="20">
        <f>J16+J17+J18+J19</f>
        <v>1049612.6400000001</v>
      </c>
      <c r="F15" s="150">
        <f>E15+E16+E17</f>
        <v>1227553.9800000002</v>
      </c>
      <c r="G15" s="340" t="s">
        <v>6</v>
      </c>
      <c r="H15" s="341"/>
      <c r="I15" s="21"/>
      <c r="J15" s="342" t="s">
        <v>5</v>
      </c>
      <c r="K15" s="343"/>
    </row>
    <row r="16" spans="1:11">
      <c r="A16" s="1"/>
      <c r="B16" s="349" t="s">
        <v>7</v>
      </c>
      <c r="C16" s="350"/>
      <c r="D16" s="351"/>
      <c r="E16" s="20">
        <f>G22+G23</f>
        <v>23355.11</v>
      </c>
      <c r="F16" s="150">
        <v>90000</v>
      </c>
      <c r="G16" s="22">
        <v>36521.589999999997</v>
      </c>
      <c r="H16" s="23" t="s">
        <v>8</v>
      </c>
      <c r="I16" s="24"/>
      <c r="J16" s="25">
        <v>19271.45</v>
      </c>
      <c r="K16" s="26" t="s">
        <v>9</v>
      </c>
    </row>
    <row r="17" spans="2:13">
      <c r="B17" s="352" t="s">
        <v>6</v>
      </c>
      <c r="C17" s="353"/>
      <c r="D17" s="354"/>
      <c r="E17" s="28">
        <f>G16+G17+G18</f>
        <v>154586.23000000001</v>
      </c>
      <c r="F17" s="150">
        <f>F15-F16</f>
        <v>1137553.9800000002</v>
      </c>
      <c r="G17" s="22">
        <v>11297.87</v>
      </c>
      <c r="H17" s="29" t="s">
        <v>10</v>
      </c>
      <c r="I17" s="30"/>
      <c r="J17" s="25">
        <v>83377.440000000002</v>
      </c>
      <c r="K17" s="31" t="s">
        <v>10</v>
      </c>
      <c r="L17" s="13"/>
    </row>
    <row r="18" spans="2:13">
      <c r="B18" s="236" t="s">
        <v>187</v>
      </c>
      <c r="C18" s="237"/>
      <c r="D18" s="238"/>
      <c r="E18" s="28">
        <f>+J22</f>
        <v>0</v>
      </c>
      <c r="F18" s="150"/>
      <c r="G18" s="22">
        <v>106766.77</v>
      </c>
      <c r="H18" s="29" t="s">
        <v>12</v>
      </c>
      <c r="I18" s="30"/>
      <c r="J18" s="25">
        <v>549388.97</v>
      </c>
      <c r="K18" s="31" t="s">
        <v>12</v>
      </c>
      <c r="L18" s="32"/>
    </row>
    <row r="19" spans="2:13">
      <c r="B19" s="379" t="s">
        <v>11</v>
      </c>
      <c r="C19" s="380"/>
      <c r="D19" s="381"/>
      <c r="E19" s="20">
        <f>G29+G31+G30+G28</f>
        <v>336521.52</v>
      </c>
      <c r="F19" s="150"/>
      <c r="G19" s="33"/>
      <c r="H19" s="34"/>
      <c r="I19" s="30"/>
      <c r="J19" s="25">
        <v>397574.78</v>
      </c>
      <c r="K19" s="31" t="s">
        <v>14</v>
      </c>
      <c r="L19" s="13"/>
      <c r="M19" t="s">
        <v>20</v>
      </c>
    </row>
    <row r="20" spans="2:13">
      <c r="B20" s="344" t="s">
        <v>13</v>
      </c>
      <c r="C20" s="345"/>
      <c r="D20" s="346"/>
      <c r="E20" s="20">
        <v>22662716.379999999</v>
      </c>
      <c r="F20" s="150"/>
      <c r="G20" s="239"/>
      <c r="H20" s="240"/>
      <c r="I20" s="30"/>
      <c r="J20" s="25"/>
      <c r="K20" s="31"/>
      <c r="L20" s="13"/>
    </row>
    <row r="21" spans="2:13">
      <c r="B21" s="187" t="s">
        <v>15</v>
      </c>
      <c r="C21" s="188"/>
      <c r="D21" s="189"/>
      <c r="E21" s="190">
        <f>SUM(E22:E23)</f>
        <v>0</v>
      </c>
      <c r="F21" s="150"/>
      <c r="G21" s="361" t="s">
        <v>16</v>
      </c>
      <c r="H21" s="362"/>
      <c r="I21" s="36"/>
      <c r="J21" s="241" t="s">
        <v>187</v>
      </c>
      <c r="K21" s="242"/>
      <c r="L21" s="39"/>
    </row>
    <row r="22" spans="2:13">
      <c r="B22" s="187"/>
      <c r="C22" s="188"/>
      <c r="D22" s="198"/>
      <c r="E22" s="190">
        <v>0</v>
      </c>
      <c r="F22" s="150">
        <f>SUM(E24:E30)</f>
        <v>127072.82</v>
      </c>
      <c r="G22" s="44">
        <v>11536.44</v>
      </c>
      <c r="H22" s="29" t="s">
        <v>10</v>
      </c>
      <c r="I22" s="30"/>
      <c r="J22" s="25">
        <v>0</v>
      </c>
      <c r="K22" s="31" t="s">
        <v>188</v>
      </c>
      <c r="L22" s="39"/>
    </row>
    <row r="23" spans="2:13">
      <c r="B23" s="206"/>
      <c r="C23" s="205"/>
      <c r="D23" s="208"/>
      <c r="E23" s="190">
        <v>0</v>
      </c>
      <c r="F23" s="150">
        <f>+F17-F22</f>
        <v>1010481.1600000001</v>
      </c>
      <c r="G23" s="44">
        <v>11818.67</v>
      </c>
      <c r="H23" s="29" t="s">
        <v>18</v>
      </c>
      <c r="I23" s="30"/>
      <c r="J23" s="25"/>
      <c r="K23" s="31"/>
      <c r="L23" s="39"/>
    </row>
    <row r="24" spans="2:13" ht="15" thickBot="1">
      <c r="B24" s="46" t="s">
        <v>17</v>
      </c>
      <c r="C24" s="47"/>
      <c r="D24" s="48"/>
      <c r="E24" s="234">
        <f>34677.3+90940.72</f>
        <v>125618.02</v>
      </c>
      <c r="F24" s="150"/>
      <c r="G24" s="51"/>
      <c r="H24" s="34"/>
      <c r="I24" s="30"/>
      <c r="J24" s="210"/>
      <c r="K24" s="53"/>
      <c r="L24" s="39"/>
    </row>
    <row r="25" spans="2:13" ht="15" thickBot="1">
      <c r="B25" s="202" t="s">
        <v>163</v>
      </c>
      <c r="C25" s="203"/>
      <c r="D25" s="204"/>
      <c r="E25" s="49">
        <v>1454.8</v>
      </c>
      <c r="F25" s="150"/>
      <c r="G25" s="331" t="s">
        <v>21</v>
      </c>
      <c r="H25" s="332"/>
      <c r="I25" s="332"/>
      <c r="J25" s="332"/>
      <c r="K25" s="333"/>
      <c r="L25" s="39"/>
    </row>
    <row r="26" spans="2:13">
      <c r="B26" s="199" t="s">
        <v>22</v>
      </c>
      <c r="C26" s="200"/>
      <c r="D26" s="201"/>
      <c r="E26" s="49">
        <v>0</v>
      </c>
      <c r="F26" s="228"/>
      <c r="G26" s="54"/>
      <c r="H26" s="55"/>
      <c r="I26" s="56"/>
      <c r="J26" s="211"/>
      <c r="K26" s="58"/>
      <c r="L26" s="39"/>
    </row>
    <row r="27" spans="2:13">
      <c r="B27" s="199" t="s">
        <v>24</v>
      </c>
      <c r="C27" s="200"/>
      <c r="D27" s="201"/>
      <c r="E27" s="49">
        <v>0</v>
      </c>
      <c r="F27" s="219"/>
      <c r="G27" s="377" t="s">
        <v>5</v>
      </c>
      <c r="H27" s="378"/>
      <c r="I27" s="59"/>
      <c r="J27" s="60"/>
      <c r="K27" s="45"/>
      <c r="L27" s="61"/>
    </row>
    <row r="28" spans="2:13">
      <c r="B28" s="199" t="s">
        <v>52</v>
      </c>
      <c r="C28" s="200"/>
      <c r="D28" s="201"/>
      <c r="E28" s="49">
        <v>0</v>
      </c>
      <c r="F28" s="219"/>
      <c r="G28" s="22">
        <f>31800.64-11500-8500</f>
        <v>11800.64</v>
      </c>
      <c r="H28" s="62" t="s">
        <v>9</v>
      </c>
      <c r="I28" s="59"/>
      <c r="J28" s="60"/>
      <c r="K28" s="45"/>
      <c r="L28" s="61"/>
    </row>
    <row r="29" spans="2:13">
      <c r="B29" s="344" t="s">
        <v>25</v>
      </c>
      <c r="C29" s="345"/>
      <c r="D29" s="346"/>
      <c r="E29" s="49">
        <v>0</v>
      </c>
      <c r="F29" s="219"/>
      <c r="G29" s="22">
        <f>354386.21- 154326.09</f>
        <v>200060.12000000002</v>
      </c>
      <c r="H29" s="62" t="s">
        <v>26</v>
      </c>
      <c r="I29" s="63"/>
      <c r="J29" s="64" t="s">
        <v>27</v>
      </c>
      <c r="K29" s="65" t="s">
        <v>28</v>
      </c>
      <c r="L29" s="61"/>
    </row>
    <row r="30" spans="2:13" ht="15" thickBot="1">
      <c r="B30" s="363" t="s">
        <v>29</v>
      </c>
      <c r="C30" s="364"/>
      <c r="D30" s="365"/>
      <c r="E30" s="66">
        <v>0</v>
      </c>
      <c r="F30" s="219"/>
      <c r="G30" s="67">
        <v>121654.29</v>
      </c>
      <c r="H30" s="68" t="s">
        <v>14</v>
      </c>
      <c r="I30" s="63"/>
      <c r="J30" s="64" t="s">
        <v>30</v>
      </c>
      <c r="K30" s="65" t="s">
        <v>31</v>
      </c>
      <c r="L30" s="61"/>
    </row>
    <row r="31" spans="2:13" ht="15" thickBot="1">
      <c r="E31" s="61"/>
      <c r="F31" s="219"/>
      <c r="G31" s="71">
        <f>257032-254025.53</f>
        <v>3006.4700000000012</v>
      </c>
      <c r="H31" s="72" t="s">
        <v>12</v>
      </c>
      <c r="I31" s="73"/>
      <c r="J31" s="74" t="s">
        <v>32</v>
      </c>
      <c r="K31" s="75" t="s">
        <v>33</v>
      </c>
      <c r="L31" s="61"/>
    </row>
    <row r="37" spans="5:8">
      <c r="E37" s="161" t="s">
        <v>190</v>
      </c>
      <c r="F37" s="197"/>
      <c r="G37" s="8"/>
      <c r="H37" s="13"/>
    </row>
    <row r="38" spans="5:8" s="61" customFormat="1" ht="15" customHeight="1">
      <c r="E38" s="161"/>
      <c r="F38" s="197"/>
      <c r="G38" s="8"/>
      <c r="H38" s="13"/>
    </row>
    <row r="39" spans="5:8" s="61" customFormat="1" ht="15" customHeight="1">
      <c r="E39" s="61" t="s">
        <v>34</v>
      </c>
      <c r="F39" s="197">
        <f>F17</f>
        <v>1137553.9800000002</v>
      </c>
      <c r="G39" s="86">
        <v>1659693.86</v>
      </c>
      <c r="H39" s="98"/>
    </row>
    <row r="40" spans="5:8" s="61" customFormat="1" ht="15" customHeight="1">
      <c r="E40" s="61" t="s">
        <v>35</v>
      </c>
      <c r="F40" s="214">
        <f>+E19</f>
        <v>336521.52</v>
      </c>
      <c r="G40" s="86">
        <v>480000</v>
      </c>
      <c r="H40" s="161"/>
    </row>
    <row r="41" spans="5:8" s="61" customFormat="1" ht="15" customHeight="1">
      <c r="E41" s="61" t="s">
        <v>36</v>
      </c>
      <c r="F41" s="197">
        <v>495000</v>
      </c>
      <c r="G41" s="86"/>
      <c r="H41" s="98"/>
    </row>
    <row r="42" spans="5:8" s="61" customFormat="1" ht="15" customHeight="1">
      <c r="E42" s="61" t="s">
        <v>37</v>
      </c>
      <c r="F42" s="197">
        <v>0</v>
      </c>
      <c r="G42" s="88">
        <v>428351.62</v>
      </c>
      <c r="H42" s="61" t="s">
        <v>191</v>
      </c>
    </row>
    <row r="43" spans="5:8" s="61" customFormat="1" ht="15" customHeight="1">
      <c r="E43" s="163" t="s">
        <v>38</v>
      </c>
      <c r="F43" s="229">
        <f>SUM(F39:F42)</f>
        <v>1969075.5000000002</v>
      </c>
      <c r="G43" s="13"/>
    </row>
    <row r="44" spans="5:8" s="61" customFormat="1" ht="15" customHeight="1">
      <c r="E44" s="165"/>
      <c r="F44" s="230"/>
      <c r="G44" s="13"/>
    </row>
    <row r="45" spans="5:8" s="61" customFormat="1" ht="15" customHeight="1">
      <c r="E45" s="165" t="s">
        <v>152</v>
      </c>
      <c r="F45" s="230">
        <v>145000</v>
      </c>
      <c r="G45" s="13"/>
    </row>
    <row r="46" spans="5:8" s="61" customFormat="1" ht="15" customHeight="1">
      <c r="E46" s="165" t="s">
        <v>180</v>
      </c>
      <c r="F46" s="230">
        <v>80000</v>
      </c>
      <c r="G46" s="13"/>
    </row>
    <row r="47" spans="5:8" s="61" customFormat="1" ht="15" customHeight="1">
      <c r="E47" s="165" t="s">
        <v>189</v>
      </c>
      <c r="F47" s="230">
        <v>1300000</v>
      </c>
      <c r="G47" s="13"/>
    </row>
    <row r="48" spans="5:8" s="61" customFormat="1" ht="15" customHeight="1">
      <c r="E48" s="165" t="s">
        <v>78</v>
      </c>
      <c r="F48" s="230">
        <v>90000</v>
      </c>
      <c r="G48" s="13"/>
    </row>
    <row r="49" spans="4:7" s="61" customFormat="1" ht="15" customHeight="1">
      <c r="D49" s="83"/>
      <c r="E49" s="165" t="s">
        <v>64</v>
      </c>
      <c r="F49" s="230">
        <v>130000</v>
      </c>
      <c r="G49" s="13"/>
    </row>
    <row r="50" spans="4:7" s="61" customFormat="1">
      <c r="D50" s="83"/>
      <c r="E50" s="91" t="s">
        <v>24</v>
      </c>
      <c r="F50" s="219">
        <f>15000+65000+210000</f>
        <v>290000</v>
      </c>
    </row>
    <row r="51" spans="4:7" s="61" customFormat="1">
      <c r="E51" s="91" t="s">
        <v>22</v>
      </c>
      <c r="F51" s="219">
        <v>30000</v>
      </c>
    </row>
    <row r="52" spans="4:7" s="61" customFormat="1">
      <c r="E52" s="91" t="s">
        <v>40</v>
      </c>
      <c r="F52" s="219">
        <v>170000</v>
      </c>
    </row>
    <row r="53" spans="4:7" s="61" customFormat="1">
      <c r="E53" s="96" t="s">
        <v>41</v>
      </c>
      <c r="F53" s="231">
        <f>SUM(F45:F52)</f>
        <v>2235000</v>
      </c>
    </row>
    <row r="54" spans="4:7" s="61" customFormat="1">
      <c r="E54" s="96" t="s">
        <v>42</v>
      </c>
      <c r="F54" s="231">
        <f>F43-F53</f>
        <v>-265924.49999999977</v>
      </c>
    </row>
    <row r="55" spans="4:7" s="61" customFormat="1">
      <c r="E55" s="83"/>
      <c r="F55" s="228"/>
    </row>
    <row r="56" spans="4:7" s="61" customFormat="1">
      <c r="E56" s="83" t="s">
        <v>43</v>
      </c>
      <c r="F56" s="228">
        <f>43800+180000</f>
        <v>223800</v>
      </c>
    </row>
    <row r="57" spans="4:7" s="61" customFormat="1">
      <c r="E57" s="83" t="s">
        <v>44</v>
      </c>
      <c r="F57" s="228">
        <f>100000+350000-20000-40000+165000+10000-200000</f>
        <v>365000</v>
      </c>
      <c r="G57" s="83"/>
    </row>
    <row r="58" spans="4:7" s="61" customFormat="1">
      <c r="E58" s="83" t="s">
        <v>91</v>
      </c>
      <c r="F58" s="232">
        <v>0</v>
      </c>
      <c r="G58" s="83"/>
    </row>
    <row r="59" spans="4:7" s="61" customFormat="1">
      <c r="E59" s="96" t="s">
        <v>46</v>
      </c>
      <c r="F59" s="233">
        <f>SUM(F56:F58)</f>
        <v>588800</v>
      </c>
      <c r="G59" s="83"/>
    </row>
    <row r="60" spans="4:7" s="61" customFormat="1">
      <c r="E60" s="83"/>
      <c r="F60" s="228"/>
      <c r="G60" s="83"/>
    </row>
    <row r="61" spans="4:7">
      <c r="D61" s="61"/>
      <c r="E61" s="96" t="s">
        <v>47</v>
      </c>
      <c r="F61" s="233">
        <f>F54-F59</f>
        <v>-854724.49999999977</v>
      </c>
      <c r="G61" s="83"/>
    </row>
    <row r="62" spans="4:7">
      <c r="D62" s="61"/>
      <c r="E62" s="61"/>
      <c r="F62" s="219"/>
      <c r="G62" s="61"/>
    </row>
    <row r="63" spans="4:7">
      <c r="D63" s="61"/>
      <c r="E63" s="61"/>
      <c r="F63" s="219"/>
      <c r="G63" s="61"/>
    </row>
    <row r="64" spans="4:7">
      <c r="D64" s="382" t="s">
        <v>192</v>
      </c>
      <c r="E64" s="382"/>
      <c r="F64" s="382"/>
      <c r="G64" s="61"/>
    </row>
    <row r="65" spans="4:7">
      <c r="D65" s="243" t="s">
        <v>194</v>
      </c>
      <c r="E65" s="243" t="s">
        <v>193</v>
      </c>
      <c r="F65" s="244" t="s">
        <v>24</v>
      </c>
      <c r="G65" s="61"/>
    </row>
    <row r="66" spans="4:7">
      <c r="D66" s="61" t="s">
        <v>9</v>
      </c>
      <c r="E66" s="245">
        <v>0</v>
      </c>
      <c r="F66" s="246">
        <v>20000</v>
      </c>
      <c r="G66" s="61"/>
    </row>
    <row r="67" spans="4:7">
      <c r="D67" s="61" t="s">
        <v>195</v>
      </c>
      <c r="E67" s="245">
        <v>125838.99076255714</v>
      </c>
      <c r="F67" s="246">
        <v>28487.100420091323</v>
      </c>
      <c r="G67" s="61"/>
    </row>
    <row r="68" spans="4:7">
      <c r="D68" s="61" t="s">
        <v>188</v>
      </c>
      <c r="E68" s="245">
        <v>254025.53</v>
      </c>
      <c r="F68" s="246"/>
      <c r="G68" s="61"/>
    </row>
    <row r="69" spans="4:7">
      <c r="D69" s="61"/>
      <c r="E69" s="32">
        <f>SUM(E66:E68)</f>
        <v>379864.52076255716</v>
      </c>
      <c r="F69" s="246">
        <f>SUM(F66:F68)</f>
        <v>48487.100420091323</v>
      </c>
      <c r="G69" s="32">
        <f>SUM(E69:F69)</f>
        <v>428351.62118264847</v>
      </c>
    </row>
  </sheetData>
  <mergeCells count="17">
    <mergeCell ref="G27:H27"/>
    <mergeCell ref="B29:D29"/>
    <mergeCell ref="B30:D30"/>
    <mergeCell ref="D64:F64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584A7-7C82-448E-8E9E-F23AB94D87F6}">
  <dimension ref="A6:P69"/>
  <sheetViews>
    <sheetView showGridLines="0" topLeftCell="A4" workbookViewId="0">
      <selection activeCell="A4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1:11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1">
      <c r="A7" s="1"/>
      <c r="B7" s="1"/>
      <c r="C7" s="1"/>
      <c r="D7" s="1"/>
      <c r="E7" s="1"/>
      <c r="F7" s="215"/>
      <c r="G7" s="1"/>
      <c r="H7" s="1"/>
      <c r="I7" s="1"/>
      <c r="J7" s="76"/>
      <c r="K7" s="1"/>
    </row>
    <row r="8" spans="1:11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1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1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1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1" ht="18" thickBot="1">
      <c r="A12" s="11"/>
      <c r="B12" s="331" t="s">
        <v>2</v>
      </c>
      <c r="C12" s="332"/>
      <c r="D12" s="332"/>
      <c r="E12" s="333"/>
      <c r="F12" s="217"/>
      <c r="G12" s="1"/>
      <c r="H12" s="1"/>
      <c r="I12" s="1"/>
      <c r="J12" s="76"/>
      <c r="K12" s="1"/>
    </row>
    <row r="13" spans="1:11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</row>
    <row r="14" spans="1:11" ht="15" thickBot="1">
      <c r="A14" s="1"/>
      <c r="B14" s="334" t="s">
        <v>3</v>
      </c>
      <c r="C14" s="335"/>
      <c r="D14" s="336"/>
      <c r="E14" s="17">
        <f>SUM(E15:E17)</f>
        <v>1124304.49</v>
      </c>
      <c r="F14" s="153"/>
      <c r="G14" s="331" t="s">
        <v>4</v>
      </c>
      <c r="H14" s="332"/>
      <c r="I14" s="332"/>
      <c r="J14" s="332"/>
      <c r="K14" s="333"/>
    </row>
    <row r="15" spans="1:11">
      <c r="A15" s="1"/>
      <c r="B15" s="337" t="s">
        <v>5</v>
      </c>
      <c r="C15" s="338"/>
      <c r="D15" s="339"/>
      <c r="E15" s="20">
        <f>J16+J17+J18+J19</f>
        <v>1005595.28</v>
      </c>
      <c r="F15" s="153">
        <f>E15+E16+E17</f>
        <v>1124304.49</v>
      </c>
      <c r="G15" s="340" t="s">
        <v>6</v>
      </c>
      <c r="H15" s="341"/>
      <c r="I15" s="21"/>
      <c r="J15" s="342" t="s">
        <v>5</v>
      </c>
      <c r="K15" s="343"/>
    </row>
    <row r="16" spans="1:11">
      <c r="A16" s="1"/>
      <c r="B16" s="349" t="s">
        <v>7</v>
      </c>
      <c r="C16" s="350"/>
      <c r="D16" s="351"/>
      <c r="E16" s="20">
        <f>G22+G23</f>
        <v>23355.11</v>
      </c>
      <c r="F16" s="153">
        <v>90000</v>
      </c>
      <c r="G16" s="22">
        <v>21521.59</v>
      </c>
      <c r="H16" s="23" t="s">
        <v>8</v>
      </c>
      <c r="I16" s="24"/>
      <c r="J16" s="25">
        <v>15254.09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95354.1</v>
      </c>
      <c r="F17" s="153">
        <f>F15-F16</f>
        <v>1034304.49</v>
      </c>
      <c r="G17" s="22">
        <v>13860.57</v>
      </c>
      <c r="H17" s="29" t="s">
        <v>10</v>
      </c>
      <c r="I17" s="30"/>
      <c r="J17" s="25">
        <v>43377.440000000002</v>
      </c>
      <c r="K17" s="31" t="s">
        <v>10</v>
      </c>
    </row>
    <row r="18" spans="2:11">
      <c r="B18" s="236" t="s">
        <v>187</v>
      </c>
      <c r="C18" s="237"/>
      <c r="D18" s="238"/>
      <c r="E18" s="28">
        <f>+J22</f>
        <v>0</v>
      </c>
      <c r="F18" s="153"/>
      <c r="G18" s="22">
        <v>59971.94</v>
      </c>
      <c r="H18" s="29" t="s">
        <v>12</v>
      </c>
      <c r="I18" s="30"/>
      <c r="J18" s="25">
        <v>549388.97</v>
      </c>
      <c r="K18" s="31" t="s">
        <v>12</v>
      </c>
    </row>
    <row r="19" spans="2:11">
      <c r="B19" s="379" t="s">
        <v>11</v>
      </c>
      <c r="C19" s="380"/>
      <c r="D19" s="381"/>
      <c r="E19" s="20">
        <f>G29+G31+G30+G28</f>
        <v>336648.93</v>
      </c>
      <c r="F19" s="153"/>
      <c r="G19" s="33"/>
      <c r="H19" s="34"/>
      <c r="I19" s="30"/>
      <c r="J19" s="25">
        <v>397574.78</v>
      </c>
      <c r="K19" s="31" t="s">
        <v>14</v>
      </c>
    </row>
    <row r="20" spans="2:11">
      <c r="B20" s="344" t="s">
        <v>13</v>
      </c>
      <c r="C20" s="345"/>
      <c r="D20" s="346"/>
      <c r="E20" s="20">
        <v>22572322.23</v>
      </c>
      <c r="F20" s="153"/>
      <c r="G20" s="239"/>
      <c r="H20" s="240"/>
      <c r="I20" s="30"/>
      <c r="J20" s="25"/>
      <c r="K20" s="31"/>
    </row>
    <row r="21" spans="2:11">
      <c r="B21" s="187" t="s">
        <v>15</v>
      </c>
      <c r="C21" s="188"/>
      <c r="D21" s="189"/>
      <c r="E21" s="190">
        <f>SUM(E22:E23)</f>
        <v>0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1">
      <c r="B22" s="187"/>
      <c r="C22" s="188"/>
      <c r="D22" s="198"/>
      <c r="E22" s="190">
        <v>0</v>
      </c>
      <c r="F22" s="153">
        <f>SUM(E24:E30)</f>
        <v>245000</v>
      </c>
      <c r="G22" s="44">
        <v>11536.44</v>
      </c>
      <c r="H22" s="29" t="s">
        <v>10</v>
      </c>
      <c r="I22" s="30"/>
      <c r="J22" s="25">
        <v>0</v>
      </c>
      <c r="K22" s="31" t="s">
        <v>188</v>
      </c>
    </row>
    <row r="23" spans="2:11">
      <c r="B23" s="206"/>
      <c r="C23" s="205"/>
      <c r="D23" s="208"/>
      <c r="E23" s="190">
        <v>0</v>
      </c>
      <c r="F23" s="153">
        <f>+F17-F22</f>
        <v>789304.49</v>
      </c>
      <c r="G23" s="44">
        <v>11818.67</v>
      </c>
      <c r="H23" s="29" t="s">
        <v>18</v>
      </c>
      <c r="I23" s="30"/>
      <c r="J23" s="25"/>
      <c r="K23" s="31"/>
    </row>
    <row r="24" spans="2:11" ht="15" thickBot="1">
      <c r="B24" s="46" t="s">
        <v>17</v>
      </c>
      <c r="C24" s="47"/>
      <c r="D24" s="48"/>
      <c r="E24" s="234">
        <v>0</v>
      </c>
      <c r="F24" s="153"/>
      <c r="G24" s="51"/>
      <c r="H24" s="34"/>
      <c r="I24" s="30"/>
      <c r="J24" s="210"/>
      <c r="K24" s="53"/>
    </row>
    <row r="25" spans="2:11" ht="15" thickBot="1">
      <c r="B25" s="202" t="s">
        <v>163</v>
      </c>
      <c r="C25" s="203"/>
      <c r="D25" s="204"/>
      <c r="E25" s="49">
        <v>80000</v>
      </c>
      <c r="F25" s="153"/>
      <c r="G25" s="331" t="s">
        <v>21</v>
      </c>
      <c r="H25" s="332"/>
      <c r="I25" s="332"/>
      <c r="J25" s="332"/>
      <c r="K25" s="333"/>
    </row>
    <row r="26" spans="2:11">
      <c r="B26" s="199" t="s">
        <v>22</v>
      </c>
      <c r="C26" s="200"/>
      <c r="D26" s="201"/>
      <c r="E26" s="49">
        <v>85000</v>
      </c>
      <c r="F26" s="221"/>
      <c r="G26" s="54"/>
      <c r="H26" s="55"/>
      <c r="I26" s="56"/>
      <c r="J26" s="211"/>
      <c r="K26" s="58"/>
    </row>
    <row r="27" spans="2:11">
      <c r="B27" s="199" t="s">
        <v>24</v>
      </c>
      <c r="C27" s="200"/>
      <c r="D27" s="201"/>
      <c r="E27" s="49">
        <v>80000</v>
      </c>
      <c r="F27" s="220"/>
      <c r="G27" s="377" t="s">
        <v>5</v>
      </c>
      <c r="H27" s="378"/>
      <c r="I27" s="59"/>
      <c r="J27" s="60"/>
      <c r="K27" s="45"/>
    </row>
    <row r="28" spans="2:11">
      <c r="B28" s="199" t="s">
        <v>52</v>
      </c>
      <c r="C28" s="200"/>
      <c r="D28" s="201"/>
      <c r="E28" s="49">
        <v>0</v>
      </c>
      <c r="F28" s="220"/>
      <c r="G28" s="22">
        <f>31804.25-11500-8500</f>
        <v>11804.25</v>
      </c>
      <c r="H28" s="62" t="s">
        <v>9</v>
      </c>
      <c r="I28" s="59"/>
      <c r="J28" s="60"/>
      <c r="K28" s="45"/>
    </row>
    <row r="29" spans="2:11">
      <c r="B29" s="344" t="s">
        <v>25</v>
      </c>
      <c r="C29" s="345"/>
      <c r="D29" s="346"/>
      <c r="E29" s="49">
        <v>0</v>
      </c>
      <c r="F29" s="220"/>
      <c r="G29" s="22">
        <f>354429.57- 154326.09</f>
        <v>200103.48</v>
      </c>
      <c r="H29" s="62" t="s">
        <v>26</v>
      </c>
      <c r="I29" s="63"/>
      <c r="J29" s="64" t="s">
        <v>27</v>
      </c>
      <c r="K29" s="65" t="s">
        <v>28</v>
      </c>
    </row>
    <row r="30" spans="2:11" ht="15" thickBot="1">
      <c r="B30" s="363" t="s">
        <v>29</v>
      </c>
      <c r="C30" s="364"/>
      <c r="D30" s="365"/>
      <c r="E30" s="66">
        <v>0</v>
      </c>
      <c r="F30" s="220"/>
      <c r="G30" s="67">
        <v>121665.68</v>
      </c>
      <c r="H30" s="68" t="s">
        <v>14</v>
      </c>
      <c r="I30" s="63"/>
      <c r="J30" s="64" t="s">
        <v>30</v>
      </c>
      <c r="K30" s="65" t="s">
        <v>31</v>
      </c>
    </row>
    <row r="31" spans="2:11" ht="15" thickBot="1">
      <c r="E31" s="61"/>
      <c r="F31" s="219"/>
      <c r="G31" s="71">
        <f>257101.05-254025.53</f>
        <v>3075.5199999999895</v>
      </c>
      <c r="H31" s="72" t="s">
        <v>12</v>
      </c>
      <c r="I31" s="73"/>
      <c r="J31" s="74" t="s">
        <v>32</v>
      </c>
      <c r="K31" s="75" t="s">
        <v>33</v>
      </c>
    </row>
    <row r="37" spans="5:8">
      <c r="E37" s="181" t="s">
        <v>190</v>
      </c>
      <c r="F37" s="222"/>
      <c r="G37" s="8"/>
      <c r="H37" s="13"/>
    </row>
    <row r="38" spans="5:8" s="61" customFormat="1" ht="15" customHeight="1">
      <c r="E38" s="181"/>
      <c r="F38" s="222"/>
      <c r="G38" s="8"/>
      <c r="H38" s="13"/>
    </row>
    <row r="39" spans="5:8" s="61" customFormat="1" ht="15" customHeight="1">
      <c r="E39" s="8" t="s">
        <v>34</v>
      </c>
      <c r="F39" s="222">
        <f>F17</f>
        <v>1034304.49</v>
      </c>
      <c r="G39" s="86">
        <v>1659693.86</v>
      </c>
      <c r="H39" s="98"/>
    </row>
    <row r="40" spans="5:8" s="61" customFormat="1" ht="15" customHeight="1">
      <c r="E40" s="8" t="s">
        <v>35</v>
      </c>
      <c r="F40" s="213">
        <f>+E19</f>
        <v>336648.93</v>
      </c>
      <c r="G40" s="86">
        <v>480000</v>
      </c>
      <c r="H40" s="161"/>
    </row>
    <row r="41" spans="5:8" s="61" customFormat="1" ht="15" customHeight="1">
      <c r="E41" s="8" t="s">
        <v>36</v>
      </c>
      <c r="F41" s="222">
        <v>495000</v>
      </c>
      <c r="G41" s="86"/>
      <c r="H41" s="81"/>
    </row>
    <row r="42" spans="5:8" s="61" customFormat="1" ht="15" customHeight="1">
      <c r="E42" s="8" t="s">
        <v>37</v>
      </c>
      <c r="F42" s="222">
        <v>0</v>
      </c>
      <c r="G42" s="86">
        <v>428351.62</v>
      </c>
      <c r="H42" s="8" t="s">
        <v>191</v>
      </c>
    </row>
    <row r="43" spans="5:8" s="61" customFormat="1" ht="15" customHeight="1">
      <c r="E43" s="182" t="s">
        <v>38</v>
      </c>
      <c r="F43" s="223">
        <f>SUM(F39:F42)</f>
        <v>1865953.42</v>
      </c>
      <c r="G43" s="9"/>
      <c r="H43" s="8"/>
    </row>
    <row r="44" spans="5:8" s="61" customFormat="1" ht="15" customHeight="1">
      <c r="E44" s="183"/>
      <c r="F44" s="224"/>
      <c r="G44" s="9"/>
    </row>
    <row r="45" spans="5:8" s="61" customFormat="1" ht="15" customHeight="1">
      <c r="E45" s="183" t="s">
        <v>152</v>
      </c>
      <c r="F45" s="224">
        <v>145000</v>
      </c>
      <c r="G45" s="9"/>
    </row>
    <row r="46" spans="5:8" s="61" customFormat="1" ht="15" customHeight="1">
      <c r="E46" s="183" t="s">
        <v>180</v>
      </c>
      <c r="F46" s="224">
        <v>80000</v>
      </c>
      <c r="G46" s="9"/>
    </row>
    <row r="47" spans="5:8" s="61" customFormat="1" ht="15" customHeight="1">
      <c r="E47" s="183" t="s">
        <v>189</v>
      </c>
      <c r="F47" s="224">
        <v>1300000</v>
      </c>
      <c r="G47" s="9"/>
    </row>
    <row r="48" spans="5:8" s="61" customFormat="1" ht="15" customHeight="1">
      <c r="E48" s="183" t="s">
        <v>78</v>
      </c>
      <c r="F48" s="224">
        <v>90000</v>
      </c>
      <c r="G48" s="9"/>
    </row>
    <row r="49" spans="4:7" s="61" customFormat="1" ht="15" customHeight="1">
      <c r="D49" s="82"/>
      <c r="E49" s="183" t="s">
        <v>64</v>
      </c>
      <c r="F49" s="224">
        <v>130000</v>
      </c>
      <c r="G49" s="9"/>
    </row>
    <row r="50" spans="4:7" s="61" customFormat="1">
      <c r="D50" s="82"/>
      <c r="E50" s="116" t="s">
        <v>24</v>
      </c>
      <c r="F50" s="220">
        <f>15000+65000+210000</f>
        <v>290000</v>
      </c>
      <c r="G50" s="8"/>
    </row>
    <row r="51" spans="4:7" s="61" customFormat="1">
      <c r="D51" s="8"/>
      <c r="E51" s="116" t="s">
        <v>22</v>
      </c>
      <c r="F51" s="220">
        <f>30000+85000</f>
        <v>115000</v>
      </c>
      <c r="G51" s="8"/>
    </row>
    <row r="52" spans="4:7" s="61" customFormat="1">
      <c r="D52" s="8"/>
      <c r="E52" s="116" t="s">
        <v>40</v>
      </c>
      <c r="F52" s="220">
        <f>170000-90000</f>
        <v>80000</v>
      </c>
      <c r="G52" s="8"/>
    </row>
    <row r="53" spans="4:7" s="61" customFormat="1">
      <c r="D53" s="8"/>
      <c r="E53" s="118" t="s">
        <v>41</v>
      </c>
      <c r="F53" s="225">
        <f>SUM(F45:F52)</f>
        <v>2230000</v>
      </c>
      <c r="G53" s="8"/>
    </row>
    <row r="54" spans="4:7" s="61" customFormat="1">
      <c r="D54" s="8"/>
      <c r="E54" s="118" t="s">
        <v>42</v>
      </c>
      <c r="F54" s="225">
        <f>F43-F53</f>
        <v>-364046.58000000007</v>
      </c>
      <c r="G54" s="8"/>
    </row>
    <row r="55" spans="4:7" s="61" customFormat="1">
      <c r="D55" s="8"/>
      <c r="E55" s="82"/>
      <c r="F55" s="221"/>
      <c r="G55" s="8"/>
    </row>
    <row r="56" spans="4:7" s="61" customFormat="1">
      <c r="D56" s="8"/>
      <c r="E56" s="82" t="s">
        <v>43</v>
      </c>
      <c r="F56" s="221">
        <f>43800+180000</f>
        <v>223800</v>
      </c>
      <c r="G56" s="8"/>
    </row>
    <row r="57" spans="4:7" s="61" customFormat="1">
      <c r="D57" s="8"/>
      <c r="E57" s="82" t="s">
        <v>44</v>
      </c>
      <c r="F57" s="221">
        <f>100000+350000-20000-40000+165000+10000-200000</f>
        <v>365000</v>
      </c>
      <c r="G57" s="82"/>
    </row>
    <row r="58" spans="4:7" s="61" customFormat="1">
      <c r="D58" s="8"/>
      <c r="E58" s="82" t="s">
        <v>91</v>
      </c>
      <c r="F58" s="226">
        <v>0</v>
      </c>
      <c r="G58" s="82"/>
    </row>
    <row r="59" spans="4:7" s="61" customFormat="1">
      <c r="D59" s="8"/>
      <c r="E59" s="118" t="s">
        <v>46</v>
      </c>
      <c r="F59" s="227">
        <f>SUM(F56:F58)</f>
        <v>588800</v>
      </c>
      <c r="G59" s="82"/>
    </row>
    <row r="60" spans="4:7" s="61" customFormat="1">
      <c r="D60" s="8"/>
      <c r="E60" s="82"/>
      <c r="F60" s="221"/>
      <c r="G60" s="82"/>
    </row>
    <row r="61" spans="4:7">
      <c r="D61" s="8"/>
      <c r="E61" s="118" t="s">
        <v>47</v>
      </c>
      <c r="F61" s="227">
        <f>F54-F59</f>
        <v>-952846.58000000007</v>
      </c>
      <c r="G61" s="82"/>
    </row>
    <row r="62" spans="4:7">
      <c r="D62" s="8"/>
      <c r="E62" s="8"/>
      <c r="F62" s="220"/>
      <c r="G62" s="8"/>
    </row>
    <row r="63" spans="4:7">
      <c r="D63" s="8"/>
      <c r="E63" s="8"/>
      <c r="F63" s="220"/>
      <c r="G63" s="8"/>
    </row>
    <row r="64" spans="4:7">
      <c r="D64" s="383" t="s">
        <v>192</v>
      </c>
      <c r="E64" s="383"/>
      <c r="F64" s="383"/>
      <c r="G64" s="8"/>
    </row>
    <row r="65" spans="4:7">
      <c r="D65" s="247" t="s">
        <v>194</v>
      </c>
      <c r="E65" s="247" t="s">
        <v>193</v>
      </c>
      <c r="F65" s="248" t="s">
        <v>24</v>
      </c>
      <c r="G65" s="8"/>
    </row>
    <row r="66" spans="4:7">
      <c r="D66" s="8" t="s">
        <v>9</v>
      </c>
      <c r="E66" s="249">
        <v>0</v>
      </c>
      <c r="F66" s="250">
        <v>20000</v>
      </c>
      <c r="G66" s="8"/>
    </row>
    <row r="67" spans="4:7">
      <c r="D67" s="8" t="s">
        <v>195</v>
      </c>
      <c r="E67" s="249">
        <v>125838.99076255714</v>
      </c>
      <c r="F67" s="250">
        <v>28487.100420091323</v>
      </c>
      <c r="G67" s="8"/>
    </row>
    <row r="68" spans="4:7">
      <c r="D68" s="8" t="s">
        <v>188</v>
      </c>
      <c r="E68" s="249">
        <v>254025.53</v>
      </c>
      <c r="F68" s="250"/>
      <c r="G68" s="8"/>
    </row>
    <row r="69" spans="4:7">
      <c r="D69" s="8"/>
      <c r="E69" s="124">
        <f>SUM(E66:E68)</f>
        <v>379864.52076255716</v>
      </c>
      <c r="F69" s="250">
        <f>SUM(F66:F68)</f>
        <v>48487.100420091323</v>
      </c>
      <c r="G69" s="124">
        <f>SUM(E69:F69)</f>
        <v>428351.62118264847</v>
      </c>
    </row>
  </sheetData>
  <mergeCells count="17">
    <mergeCell ref="E10:F10"/>
    <mergeCell ref="B12:E12"/>
    <mergeCell ref="B14:D14"/>
    <mergeCell ref="G14:K14"/>
    <mergeCell ref="B15:D15"/>
    <mergeCell ref="G15:H15"/>
    <mergeCell ref="J15:K15"/>
    <mergeCell ref="G27:H27"/>
    <mergeCell ref="B29:D29"/>
    <mergeCell ref="B30:D30"/>
    <mergeCell ref="D64:F64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48A7B-E532-48CF-B15A-F106C6FF1E5C}">
  <dimension ref="A6:P69"/>
  <sheetViews>
    <sheetView showGridLines="0" topLeftCell="A15" workbookViewId="0">
      <selection activeCell="A15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1:11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1">
      <c r="A7" s="1"/>
      <c r="B7" s="1"/>
      <c r="C7" s="1"/>
      <c r="D7" s="1"/>
      <c r="E7" s="1"/>
      <c r="F7" s="215"/>
      <c r="G7" s="1"/>
      <c r="H7" s="1"/>
      <c r="I7" s="1"/>
      <c r="J7" s="76"/>
      <c r="K7" s="1"/>
    </row>
    <row r="8" spans="1:11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1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1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1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1" ht="18" thickBot="1">
      <c r="A12" s="11"/>
      <c r="B12" s="331" t="s">
        <v>2</v>
      </c>
      <c r="C12" s="332"/>
      <c r="D12" s="332"/>
      <c r="E12" s="333"/>
      <c r="F12" s="217"/>
      <c r="G12" s="1"/>
      <c r="H12" s="1"/>
      <c r="I12" s="1"/>
      <c r="J12" s="76"/>
      <c r="K12" s="1"/>
    </row>
    <row r="13" spans="1:11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</row>
    <row r="14" spans="1:11" ht="15" thickBot="1">
      <c r="A14" s="1"/>
      <c r="B14" s="334" t="s">
        <v>3</v>
      </c>
      <c r="C14" s="335"/>
      <c r="D14" s="336"/>
      <c r="E14" s="17">
        <f>SUM(E15:E17)</f>
        <v>753245.91999999993</v>
      </c>
      <c r="F14" s="150"/>
      <c r="G14" s="331" t="s">
        <v>4</v>
      </c>
      <c r="H14" s="332"/>
      <c r="I14" s="332"/>
      <c r="J14" s="332"/>
      <c r="K14" s="333"/>
    </row>
    <row r="15" spans="1:11">
      <c r="A15" s="1"/>
      <c r="B15" s="337" t="s">
        <v>5</v>
      </c>
      <c r="C15" s="338"/>
      <c r="D15" s="339"/>
      <c r="E15" s="20">
        <f>J16+J17+J18+J19</f>
        <v>624768.30999999994</v>
      </c>
      <c r="F15" s="153">
        <f>E15+E16+E17</f>
        <v>753245.91999999993</v>
      </c>
      <c r="G15" s="340" t="s">
        <v>6</v>
      </c>
      <c r="H15" s="341"/>
      <c r="I15" s="21"/>
      <c r="J15" s="342" t="s">
        <v>5</v>
      </c>
      <c r="K15" s="343"/>
    </row>
    <row r="16" spans="1:11">
      <c r="A16" s="1"/>
      <c r="B16" s="349" t="s">
        <v>7</v>
      </c>
      <c r="C16" s="350"/>
      <c r="D16" s="351"/>
      <c r="E16" s="20">
        <f>G22+G23</f>
        <v>23355.11</v>
      </c>
      <c r="F16" s="153">
        <v>90000</v>
      </c>
      <c r="G16" s="22">
        <v>10120.39</v>
      </c>
      <c r="H16" s="23" t="s">
        <v>8</v>
      </c>
      <c r="I16" s="24"/>
      <c r="J16" s="25">
        <v>15254.09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105122.5</v>
      </c>
      <c r="F17" s="153">
        <f>F15-F16</f>
        <v>663245.91999999993</v>
      </c>
      <c r="G17" s="22">
        <v>20030.169999999998</v>
      </c>
      <c r="H17" s="29" t="s">
        <v>10</v>
      </c>
      <c r="I17" s="30"/>
      <c r="J17" s="25">
        <v>28377.439999999999</v>
      </c>
      <c r="K17" s="31" t="s">
        <v>10</v>
      </c>
    </row>
    <row r="18" spans="2:11">
      <c r="B18" s="236" t="s">
        <v>187</v>
      </c>
      <c r="C18" s="237"/>
      <c r="D18" s="238"/>
      <c r="E18" s="28">
        <f>+J22</f>
        <v>0</v>
      </c>
      <c r="F18" s="153"/>
      <c r="G18" s="22">
        <v>74971.94</v>
      </c>
      <c r="H18" s="29" t="s">
        <v>12</v>
      </c>
      <c r="I18" s="30"/>
      <c r="J18" s="25">
        <v>266142.03999999998</v>
      </c>
      <c r="K18" s="31" t="s">
        <v>12</v>
      </c>
    </row>
    <row r="19" spans="2:11">
      <c r="B19" s="379" t="s">
        <v>11</v>
      </c>
      <c r="C19" s="380"/>
      <c r="D19" s="381"/>
      <c r="E19" s="20">
        <f>G29+G31+G30+G28</f>
        <v>316776.17</v>
      </c>
      <c r="F19" s="153"/>
      <c r="G19" s="33"/>
      <c r="H19" s="34"/>
      <c r="I19" s="30"/>
      <c r="J19" s="25">
        <v>314994.74</v>
      </c>
      <c r="K19" s="31" t="s">
        <v>14</v>
      </c>
    </row>
    <row r="20" spans="2:11">
      <c r="B20" s="344" t="s">
        <v>13</v>
      </c>
      <c r="C20" s="345"/>
      <c r="D20" s="346"/>
      <c r="E20" s="20">
        <v>22528861.879999999</v>
      </c>
      <c r="F20" s="153"/>
      <c r="G20" s="239"/>
      <c r="H20" s="240"/>
      <c r="I20" s="30"/>
      <c r="J20" s="25"/>
      <c r="K20" s="31"/>
    </row>
    <row r="21" spans="2:11">
      <c r="B21" s="187" t="s">
        <v>15</v>
      </c>
      <c r="C21" s="188"/>
      <c r="D21" s="189"/>
      <c r="E21" s="190">
        <f>SUM(E22:E23)</f>
        <v>0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1">
      <c r="B22" s="187"/>
      <c r="C22" s="188"/>
      <c r="D22" s="198"/>
      <c r="E22" s="190">
        <v>0</v>
      </c>
      <c r="F22" s="153">
        <f>SUM(E24:E30)</f>
        <v>241081.26</v>
      </c>
      <c r="G22" s="44">
        <v>11536.44</v>
      </c>
      <c r="H22" s="29" t="s">
        <v>10</v>
      </c>
      <c r="I22" s="30"/>
      <c r="J22" s="25">
        <v>0</v>
      </c>
      <c r="K22" s="31" t="s">
        <v>188</v>
      </c>
    </row>
    <row r="23" spans="2:11">
      <c r="B23" s="206"/>
      <c r="C23" s="205"/>
      <c r="D23" s="208"/>
      <c r="E23" s="190">
        <v>0</v>
      </c>
      <c r="F23" s="153">
        <f>+F17-F22</f>
        <v>422164.65999999992</v>
      </c>
      <c r="G23" s="44">
        <v>11818.67</v>
      </c>
      <c r="H23" s="29" t="s">
        <v>18</v>
      </c>
      <c r="I23" s="30"/>
      <c r="J23" s="25"/>
      <c r="K23" s="31"/>
    </row>
    <row r="24" spans="2:11" ht="15" thickBot="1">
      <c r="B24" s="46" t="s">
        <v>17</v>
      </c>
      <c r="C24" s="47"/>
      <c r="D24" s="48"/>
      <c r="E24" s="234">
        <v>26081.26</v>
      </c>
      <c r="F24" s="153"/>
      <c r="G24" s="51"/>
      <c r="H24" s="34"/>
      <c r="I24" s="30"/>
      <c r="J24" s="210"/>
      <c r="K24" s="53"/>
    </row>
    <row r="25" spans="2:11" ht="15" thickBot="1">
      <c r="B25" s="202" t="s">
        <v>163</v>
      </c>
      <c r="C25" s="203"/>
      <c r="D25" s="204"/>
      <c r="E25" s="49">
        <v>0</v>
      </c>
      <c r="F25" s="153"/>
      <c r="G25" s="331" t="s">
        <v>21</v>
      </c>
      <c r="H25" s="332"/>
      <c r="I25" s="332"/>
      <c r="J25" s="332"/>
      <c r="K25" s="333"/>
    </row>
    <row r="26" spans="2:11">
      <c r="B26" s="199" t="s">
        <v>22</v>
      </c>
      <c r="C26" s="200"/>
      <c r="D26" s="201"/>
      <c r="E26" s="49">
        <v>85000</v>
      </c>
      <c r="F26" s="221"/>
      <c r="G26" s="54"/>
      <c r="H26" s="55"/>
      <c r="I26" s="56"/>
      <c r="J26" s="211"/>
      <c r="K26" s="58"/>
    </row>
    <row r="27" spans="2:11">
      <c r="B27" s="199" t="s">
        <v>64</v>
      </c>
      <c r="C27" s="200"/>
      <c r="D27" s="201"/>
      <c r="E27" s="49">
        <v>130000</v>
      </c>
      <c r="F27" s="220"/>
      <c r="G27" s="377" t="s">
        <v>5</v>
      </c>
      <c r="H27" s="378"/>
      <c r="I27" s="59"/>
      <c r="J27" s="60"/>
      <c r="K27" s="45"/>
    </row>
    <row r="28" spans="2:11">
      <c r="B28" s="199" t="s">
        <v>52</v>
      </c>
      <c r="C28" s="200"/>
      <c r="D28" s="201"/>
      <c r="E28" s="49">
        <v>0</v>
      </c>
      <c r="F28" s="220"/>
      <c r="G28" s="22">
        <f>31807.87-11500-8500</f>
        <v>11807.869999999999</v>
      </c>
      <c r="H28" s="62" t="s">
        <v>9</v>
      </c>
      <c r="I28" s="59"/>
      <c r="J28" s="60"/>
      <c r="K28" s="45"/>
    </row>
    <row r="29" spans="2:11">
      <c r="B29" s="344" t="s">
        <v>25</v>
      </c>
      <c r="C29" s="345"/>
      <c r="D29" s="346"/>
      <c r="E29" s="49">
        <v>0</v>
      </c>
      <c r="F29" s="220"/>
      <c r="G29" s="22">
        <f>354472.93- 154326.09-20000</f>
        <v>180146.84</v>
      </c>
      <c r="H29" s="62" t="s">
        <v>26</v>
      </c>
      <c r="I29" s="63"/>
      <c r="J29" s="64" t="s">
        <v>27</v>
      </c>
      <c r="K29" s="65" t="s">
        <v>28</v>
      </c>
    </row>
    <row r="30" spans="2:11" ht="15" thickBot="1">
      <c r="B30" s="363" t="s">
        <v>29</v>
      </c>
      <c r="C30" s="364"/>
      <c r="D30" s="365"/>
      <c r="E30" s="66">
        <v>0</v>
      </c>
      <c r="F30" s="220"/>
      <c r="G30" s="67">
        <v>121677.06</v>
      </c>
      <c r="H30" s="68" t="s">
        <v>14</v>
      </c>
      <c r="I30" s="63"/>
      <c r="J30" s="64" t="s">
        <v>30</v>
      </c>
      <c r="K30" s="65" t="s">
        <v>31</v>
      </c>
    </row>
    <row r="31" spans="2:11" ht="15" thickBot="1">
      <c r="E31" s="79"/>
      <c r="G31" s="71">
        <f>257169.93-254025.53</f>
        <v>3144.3999999999942</v>
      </c>
      <c r="H31" s="72" t="s">
        <v>12</v>
      </c>
      <c r="I31" s="73"/>
      <c r="J31" s="74" t="s">
        <v>32</v>
      </c>
      <c r="K31" s="75" t="s">
        <v>33</v>
      </c>
    </row>
    <row r="37" spans="5:8">
      <c r="E37" s="252" t="s">
        <v>190</v>
      </c>
      <c r="F37" s="253"/>
      <c r="G37" s="8"/>
      <c r="H37" s="13"/>
    </row>
    <row r="38" spans="5:8" s="61" customFormat="1" ht="15" customHeight="1">
      <c r="E38" s="252"/>
      <c r="F38" s="253"/>
      <c r="G38" s="8"/>
      <c r="H38" s="13"/>
    </row>
    <row r="39" spans="5:8" s="61" customFormat="1" ht="15" customHeight="1">
      <c r="E39" s="79" t="s">
        <v>34</v>
      </c>
      <c r="F39" s="253">
        <f>F17</f>
        <v>663245.91999999993</v>
      </c>
      <c r="G39" s="86">
        <v>1659693.86</v>
      </c>
      <c r="H39" s="98"/>
    </row>
    <row r="40" spans="5:8" s="61" customFormat="1" ht="15" customHeight="1">
      <c r="E40" s="79" t="s">
        <v>35</v>
      </c>
      <c r="F40" s="254">
        <f>+E19</f>
        <v>316776.17</v>
      </c>
      <c r="G40" s="86">
        <v>480000</v>
      </c>
      <c r="H40" s="161"/>
    </row>
    <row r="41" spans="5:8" s="61" customFormat="1" ht="15" customHeight="1">
      <c r="E41" s="79" t="s">
        <v>36</v>
      </c>
      <c r="F41" s="253">
        <v>495000</v>
      </c>
      <c r="G41" s="86"/>
      <c r="H41" s="81"/>
    </row>
    <row r="42" spans="5:8" s="61" customFormat="1" ht="15" customHeight="1">
      <c r="E42" s="79" t="s">
        <v>37</v>
      </c>
      <c r="F42" s="253">
        <v>0</v>
      </c>
      <c r="G42" s="86">
        <v>428351.62</v>
      </c>
      <c r="H42" s="8" t="s">
        <v>191</v>
      </c>
    </row>
    <row r="43" spans="5:8" s="61" customFormat="1" ht="15" customHeight="1">
      <c r="E43" s="255" t="s">
        <v>38</v>
      </c>
      <c r="F43" s="256">
        <f>SUM(F39:F42)</f>
        <v>1475022.0899999999</v>
      </c>
      <c r="G43" s="9"/>
      <c r="H43" s="8"/>
    </row>
    <row r="44" spans="5:8" s="61" customFormat="1" ht="15" customHeight="1">
      <c r="E44" s="257"/>
      <c r="F44" s="258"/>
      <c r="G44" s="9"/>
    </row>
    <row r="45" spans="5:8" s="61" customFormat="1" ht="15" customHeight="1">
      <c r="E45" s="257" t="s">
        <v>152</v>
      </c>
      <c r="F45" s="258">
        <v>145000</v>
      </c>
      <c r="G45" s="9"/>
    </row>
    <row r="46" spans="5:8" s="61" customFormat="1" ht="15" customHeight="1">
      <c r="E46" s="257" t="s">
        <v>180</v>
      </c>
      <c r="F46" s="258">
        <v>80000</v>
      </c>
      <c r="G46" s="9"/>
    </row>
    <row r="47" spans="5:8" s="61" customFormat="1" ht="15" customHeight="1">
      <c r="E47" s="257" t="s">
        <v>189</v>
      </c>
      <c r="F47" s="258">
        <v>1300000</v>
      </c>
      <c r="G47" s="9"/>
    </row>
    <row r="48" spans="5:8" s="61" customFormat="1" ht="15" customHeight="1">
      <c r="E48" s="257" t="s">
        <v>78</v>
      </c>
      <c r="F48" s="258">
        <v>90000</v>
      </c>
      <c r="G48" s="9"/>
    </row>
    <row r="49" spans="4:7" s="61" customFormat="1" ht="15" customHeight="1">
      <c r="D49" s="82"/>
      <c r="E49" s="257" t="s">
        <v>64</v>
      </c>
      <c r="F49" s="258">
        <v>130000</v>
      </c>
      <c r="G49" s="9"/>
    </row>
    <row r="50" spans="4:7" s="61" customFormat="1">
      <c r="D50" s="82"/>
      <c r="E50" s="137" t="s">
        <v>24</v>
      </c>
      <c r="F50" s="218">
        <v>0</v>
      </c>
      <c r="G50" s="8"/>
    </row>
    <row r="51" spans="4:7" s="61" customFormat="1">
      <c r="D51" s="8"/>
      <c r="E51" s="137" t="s">
        <v>22</v>
      </c>
      <c r="F51" s="218">
        <f>30000+85000</f>
        <v>115000</v>
      </c>
      <c r="G51" s="8"/>
    </row>
    <row r="52" spans="4:7" s="61" customFormat="1">
      <c r="D52" s="8"/>
      <c r="E52" s="137" t="s">
        <v>40</v>
      </c>
      <c r="F52" s="218">
        <f>170000-90000</f>
        <v>80000</v>
      </c>
      <c r="G52" s="8"/>
    </row>
    <row r="53" spans="4:7" s="61" customFormat="1">
      <c r="D53" s="8"/>
      <c r="E53" s="139" t="s">
        <v>41</v>
      </c>
      <c r="F53" s="259">
        <f>SUM(F45:F52)</f>
        <v>1940000</v>
      </c>
      <c r="G53" s="8"/>
    </row>
    <row r="54" spans="4:7" s="61" customFormat="1">
      <c r="D54" s="8"/>
      <c r="E54" s="139" t="s">
        <v>42</v>
      </c>
      <c r="F54" s="259">
        <f>F43-F53</f>
        <v>-464977.91000000015</v>
      </c>
      <c r="G54" s="8"/>
    </row>
    <row r="55" spans="4:7" s="61" customFormat="1">
      <c r="D55" s="8"/>
      <c r="E55" s="129"/>
      <c r="F55" s="251"/>
      <c r="G55" s="8"/>
    </row>
    <row r="56" spans="4:7" s="61" customFormat="1">
      <c r="D56" s="8"/>
      <c r="E56" s="129" t="s">
        <v>43</v>
      </c>
      <c r="F56" s="251">
        <f>43800+180000</f>
        <v>223800</v>
      </c>
      <c r="G56" s="8"/>
    </row>
    <row r="57" spans="4:7" s="61" customFormat="1">
      <c r="D57" s="8"/>
      <c r="E57" s="129" t="s">
        <v>44</v>
      </c>
      <c r="F57" s="251">
        <f>100000+350000-20000-40000+165000+10000-200000</f>
        <v>365000</v>
      </c>
      <c r="G57" s="82"/>
    </row>
    <row r="58" spans="4:7" s="61" customFormat="1">
      <c r="D58" s="8"/>
      <c r="E58" s="129" t="s">
        <v>91</v>
      </c>
      <c r="F58" s="260">
        <v>0</v>
      </c>
      <c r="G58" s="82"/>
    </row>
    <row r="59" spans="4:7" s="61" customFormat="1">
      <c r="D59" s="8"/>
      <c r="E59" s="139" t="s">
        <v>46</v>
      </c>
      <c r="F59" s="261">
        <f>SUM(F56:F58)</f>
        <v>588800</v>
      </c>
      <c r="G59" s="82"/>
    </row>
    <row r="60" spans="4:7" s="61" customFormat="1">
      <c r="D60" s="8"/>
      <c r="E60" s="129"/>
      <c r="F60" s="251"/>
      <c r="G60" s="82"/>
    </row>
    <row r="61" spans="4:7">
      <c r="D61" s="8"/>
      <c r="E61" s="139" t="s">
        <v>47</v>
      </c>
      <c r="F61" s="261">
        <f>F54-F59</f>
        <v>-1053777.9100000001</v>
      </c>
      <c r="G61" s="82"/>
    </row>
    <row r="62" spans="4:7">
      <c r="D62" s="8"/>
      <c r="E62" s="61"/>
      <c r="F62" s="219"/>
      <c r="G62" s="8"/>
    </row>
    <row r="63" spans="4:7">
      <c r="D63" s="8"/>
      <c r="E63" s="8"/>
      <c r="F63" s="220"/>
      <c r="G63" s="8"/>
    </row>
    <row r="64" spans="4:7">
      <c r="D64" s="383" t="s">
        <v>192</v>
      </c>
      <c r="E64" s="383"/>
      <c r="F64" s="383"/>
      <c r="G64" s="8"/>
    </row>
    <row r="65" spans="4:7">
      <c r="D65" s="247" t="s">
        <v>194</v>
      </c>
      <c r="E65" s="247" t="s">
        <v>193</v>
      </c>
      <c r="F65" s="248" t="s">
        <v>24</v>
      </c>
      <c r="G65" s="8"/>
    </row>
    <row r="66" spans="4:7">
      <c r="D66" s="8" t="s">
        <v>9</v>
      </c>
      <c r="E66" s="249">
        <v>0</v>
      </c>
      <c r="F66" s="250">
        <v>20000</v>
      </c>
      <c r="G66" s="8"/>
    </row>
    <row r="67" spans="4:7">
      <c r="D67" s="8" t="s">
        <v>195</v>
      </c>
      <c r="E67" s="249">
        <v>125838.99076255714</v>
      </c>
      <c r="F67" s="250">
        <v>28487.100420091323</v>
      </c>
      <c r="G67" s="8"/>
    </row>
    <row r="68" spans="4:7">
      <c r="D68" s="8" t="s">
        <v>188</v>
      </c>
      <c r="E68" s="249">
        <v>254025.53</v>
      </c>
      <c r="F68" s="250"/>
      <c r="G68" s="8"/>
    </row>
    <row r="69" spans="4:7">
      <c r="D69" s="8"/>
      <c r="E69" s="124">
        <f>SUM(E66:E68)</f>
        <v>379864.52076255716</v>
      </c>
      <c r="F69" s="250">
        <f>SUM(F66:F68)</f>
        <v>48487.100420091323</v>
      </c>
      <c r="G69" s="124">
        <f>SUM(E69:F69)</f>
        <v>428351.62118264847</v>
      </c>
    </row>
  </sheetData>
  <mergeCells count="17">
    <mergeCell ref="G27:H27"/>
    <mergeCell ref="B29:D29"/>
    <mergeCell ref="B30:D30"/>
    <mergeCell ref="D64:F64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EBC24-DBDF-4A5A-A501-14A6E3655ABE}">
  <dimension ref="A6:K69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</cols>
  <sheetData>
    <row r="6" spans="1:11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1">
      <c r="A7" s="1"/>
      <c r="B7" s="1"/>
      <c r="C7" s="1"/>
      <c r="D7" s="1"/>
      <c r="E7" s="1"/>
      <c r="F7" s="215"/>
      <c r="G7" s="1"/>
      <c r="H7" s="1"/>
      <c r="I7" s="1"/>
      <c r="J7" s="76"/>
      <c r="K7" s="1"/>
    </row>
    <row r="8" spans="1:11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1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1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1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1" ht="18" thickBot="1">
      <c r="A12" s="11"/>
      <c r="B12" s="331" t="s">
        <v>2</v>
      </c>
      <c r="C12" s="332"/>
      <c r="D12" s="332"/>
      <c r="E12" s="333"/>
      <c r="F12" s="217"/>
      <c r="G12" s="1"/>
      <c r="H12" s="1"/>
      <c r="I12" s="1"/>
      <c r="J12" s="76"/>
      <c r="K12" s="1"/>
    </row>
    <row r="13" spans="1:11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</row>
    <row r="14" spans="1:11" ht="15" thickBot="1">
      <c r="A14" s="1"/>
      <c r="B14" s="334" t="s">
        <v>3</v>
      </c>
      <c r="C14" s="335"/>
      <c r="D14" s="336"/>
      <c r="E14" s="17">
        <f>SUM(E15:E17)</f>
        <v>693254.0199999999</v>
      </c>
      <c r="F14" s="150"/>
      <c r="G14" s="331" t="s">
        <v>4</v>
      </c>
      <c r="H14" s="332"/>
      <c r="I14" s="332"/>
      <c r="J14" s="332"/>
      <c r="K14" s="333"/>
    </row>
    <row r="15" spans="1:11">
      <c r="A15" s="1"/>
      <c r="B15" s="337" t="s">
        <v>5</v>
      </c>
      <c r="C15" s="338"/>
      <c r="D15" s="339"/>
      <c r="E15" s="20">
        <f>J16+J17+J18+J19</f>
        <v>556264.94999999995</v>
      </c>
      <c r="F15" s="153">
        <f>E15+E16+E17</f>
        <v>693254.0199999999</v>
      </c>
      <c r="G15" s="340" t="s">
        <v>6</v>
      </c>
      <c r="H15" s="341"/>
      <c r="I15" s="21"/>
      <c r="J15" s="342" t="s">
        <v>5</v>
      </c>
      <c r="K15" s="343"/>
    </row>
    <row r="16" spans="1:11">
      <c r="A16" s="1"/>
      <c r="B16" s="349" t="s">
        <v>7</v>
      </c>
      <c r="C16" s="350"/>
      <c r="D16" s="351"/>
      <c r="E16" s="20">
        <f>G22+G23</f>
        <v>23355.11</v>
      </c>
      <c r="F16" s="153">
        <v>90000</v>
      </c>
      <c r="G16" s="22">
        <v>10120.39</v>
      </c>
      <c r="H16" s="23" t="s">
        <v>8</v>
      </c>
      <c r="I16" s="24"/>
      <c r="J16" s="25">
        <v>9697.09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113633.95999999999</v>
      </c>
      <c r="F17" s="153">
        <f>F15-F16</f>
        <v>603254.0199999999</v>
      </c>
      <c r="G17" s="22">
        <v>13507.87</v>
      </c>
      <c r="H17" s="29" t="s">
        <v>10</v>
      </c>
      <c r="I17" s="30"/>
      <c r="J17" s="25">
        <v>88915.24</v>
      </c>
      <c r="K17" s="31" t="s">
        <v>10</v>
      </c>
    </row>
    <row r="18" spans="2:11">
      <c r="B18" s="236" t="s">
        <v>187</v>
      </c>
      <c r="C18" s="237"/>
      <c r="D18" s="238"/>
      <c r="E18" s="28">
        <f>+J22</f>
        <v>0</v>
      </c>
      <c r="F18" s="153"/>
      <c r="G18" s="22">
        <v>90005.7</v>
      </c>
      <c r="H18" s="29" t="s">
        <v>12</v>
      </c>
      <c r="I18" s="30"/>
      <c r="J18" s="25">
        <v>177682.38</v>
      </c>
      <c r="K18" s="31" t="s">
        <v>12</v>
      </c>
    </row>
    <row r="19" spans="2:11">
      <c r="B19" s="379" t="s">
        <v>11</v>
      </c>
      <c r="C19" s="380"/>
      <c r="D19" s="381"/>
      <c r="E19" s="20">
        <f>G29+G31+G30+G28</f>
        <v>296898.13</v>
      </c>
      <c r="F19" s="153"/>
      <c r="G19" s="33"/>
      <c r="H19" s="34"/>
      <c r="I19" s="30"/>
      <c r="J19" s="25">
        <v>279970.24</v>
      </c>
      <c r="K19" s="31" t="s">
        <v>14</v>
      </c>
    </row>
    <row r="20" spans="2:11">
      <c r="B20" s="344" t="s">
        <v>13</v>
      </c>
      <c r="C20" s="345"/>
      <c r="D20" s="346"/>
      <c r="E20" s="20">
        <v>22528861.879999999</v>
      </c>
      <c r="F20" s="153"/>
      <c r="G20" s="239"/>
      <c r="H20" s="240"/>
      <c r="I20" s="30"/>
      <c r="J20" s="25"/>
      <c r="K20" s="31"/>
    </row>
    <row r="21" spans="2:11">
      <c r="B21" s="187" t="s">
        <v>15</v>
      </c>
      <c r="C21" s="188"/>
      <c r="D21" s="189"/>
      <c r="E21" s="190">
        <f>SUM(E22:E23)</f>
        <v>0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1">
      <c r="B22" s="187"/>
      <c r="C22" s="188"/>
      <c r="D22" s="198"/>
      <c r="E22" s="190">
        <v>0</v>
      </c>
      <c r="F22" s="153">
        <f>SUM(E24:E30)</f>
        <v>16950.7</v>
      </c>
      <c r="G22" s="44">
        <v>11536.44</v>
      </c>
      <c r="H22" s="29" t="s">
        <v>10</v>
      </c>
      <c r="I22" s="30"/>
      <c r="J22" s="25">
        <v>0</v>
      </c>
      <c r="K22" s="31" t="s">
        <v>188</v>
      </c>
    </row>
    <row r="23" spans="2:11">
      <c r="B23" s="206"/>
      <c r="C23" s="205"/>
      <c r="D23" s="208"/>
      <c r="E23" s="190">
        <v>0</v>
      </c>
      <c r="F23" s="153">
        <f>+F17-F22</f>
        <v>586303.31999999995</v>
      </c>
      <c r="G23" s="44">
        <v>11818.67</v>
      </c>
      <c r="H23" s="29" t="s">
        <v>18</v>
      </c>
      <c r="I23" s="30"/>
      <c r="J23" s="25"/>
      <c r="K23" s="31"/>
    </row>
    <row r="24" spans="2:11" ht="15" thickBot="1">
      <c r="B24" s="46" t="s">
        <v>17</v>
      </c>
      <c r="C24" s="47"/>
      <c r="D24" s="48"/>
      <c r="E24" s="234">
        <v>0</v>
      </c>
      <c r="F24" s="153"/>
      <c r="G24" s="51"/>
      <c r="H24" s="34"/>
      <c r="I24" s="30"/>
      <c r="J24" s="210"/>
      <c r="K24" s="53"/>
    </row>
    <row r="25" spans="2:11" ht="15" thickBot="1">
      <c r="B25" s="202" t="s">
        <v>163</v>
      </c>
      <c r="C25" s="203"/>
      <c r="D25" s="204"/>
      <c r="E25" s="49">
        <v>0</v>
      </c>
      <c r="F25" s="153"/>
      <c r="G25" s="331" t="s">
        <v>21</v>
      </c>
      <c r="H25" s="332"/>
      <c r="I25" s="332"/>
      <c r="J25" s="332"/>
      <c r="K25" s="333"/>
    </row>
    <row r="26" spans="2:11">
      <c r="B26" s="199" t="s">
        <v>22</v>
      </c>
      <c r="C26" s="200"/>
      <c r="D26" s="201"/>
      <c r="E26" s="49">
        <v>16950.7</v>
      </c>
      <c r="F26" s="221"/>
      <c r="G26" s="54"/>
      <c r="H26" s="55"/>
      <c r="I26" s="56"/>
      <c r="J26" s="211"/>
      <c r="K26" s="58"/>
    </row>
    <row r="27" spans="2:11">
      <c r="B27" s="199" t="s">
        <v>64</v>
      </c>
      <c r="C27" s="200"/>
      <c r="D27" s="201"/>
      <c r="E27" s="49">
        <v>0</v>
      </c>
      <c r="F27" s="220"/>
      <c r="G27" s="377" t="s">
        <v>5</v>
      </c>
      <c r="H27" s="378"/>
      <c r="I27" s="59"/>
      <c r="J27" s="60"/>
      <c r="K27" s="45"/>
    </row>
    <row r="28" spans="2:11">
      <c r="B28" s="199" t="s">
        <v>52</v>
      </c>
      <c r="C28" s="200"/>
      <c r="D28" s="201"/>
      <c r="E28" s="49">
        <v>0</v>
      </c>
      <c r="F28" s="220"/>
      <c r="G28" s="22">
        <f>31811.47-11500-8500</f>
        <v>11811.470000000001</v>
      </c>
      <c r="H28" s="62" t="s">
        <v>9</v>
      </c>
      <c r="I28" s="59"/>
      <c r="J28" s="60"/>
      <c r="K28" s="45"/>
    </row>
    <row r="29" spans="2:11">
      <c r="B29" s="344" t="s">
        <v>25</v>
      </c>
      <c r="C29" s="345"/>
      <c r="D29" s="346"/>
      <c r="E29" s="49">
        <v>0</v>
      </c>
      <c r="F29" s="220"/>
      <c r="G29" s="22">
        <f>314511.4- 154326.09</f>
        <v>160185.31000000003</v>
      </c>
      <c r="H29" s="62" t="s">
        <v>26</v>
      </c>
      <c r="I29" s="63"/>
      <c r="J29" s="64" t="s">
        <v>27</v>
      </c>
      <c r="K29" s="65" t="s">
        <v>28</v>
      </c>
    </row>
    <row r="30" spans="2:11" ht="15" thickBot="1">
      <c r="B30" s="363" t="s">
        <v>29</v>
      </c>
      <c r="C30" s="364"/>
      <c r="D30" s="365"/>
      <c r="E30" s="66">
        <v>0</v>
      </c>
      <c r="F30" s="220"/>
      <c r="G30" s="67">
        <v>121688.44</v>
      </c>
      <c r="H30" s="68" t="s">
        <v>14</v>
      </c>
      <c r="I30" s="63"/>
      <c r="J30" s="64" t="s">
        <v>30</v>
      </c>
      <c r="K30" s="65" t="s">
        <v>31</v>
      </c>
    </row>
    <row r="31" spans="2:11" ht="15" thickBot="1">
      <c r="E31" s="79"/>
      <c r="G31" s="71">
        <f>257238.44-254025.53</f>
        <v>3212.9100000000035</v>
      </c>
      <c r="H31" s="72" t="s">
        <v>12</v>
      </c>
      <c r="I31" s="73"/>
      <c r="J31" s="74" t="s">
        <v>32</v>
      </c>
      <c r="K31" s="75" t="s">
        <v>33</v>
      </c>
    </row>
    <row r="37" spans="5:8">
      <c r="E37" s="181" t="s">
        <v>190</v>
      </c>
      <c r="F37" s="222"/>
      <c r="G37" s="8"/>
      <c r="H37" s="13"/>
    </row>
    <row r="38" spans="5:8" s="61" customFormat="1" ht="15" customHeight="1">
      <c r="E38" s="181"/>
      <c r="F38" s="222"/>
      <c r="G38" s="8"/>
      <c r="H38" s="13"/>
    </row>
    <row r="39" spans="5:8" s="61" customFormat="1" ht="15" customHeight="1">
      <c r="E39" s="8" t="s">
        <v>34</v>
      </c>
      <c r="F39" s="222">
        <f>F17</f>
        <v>603254.0199999999</v>
      </c>
      <c r="G39" s="86">
        <v>1659693.86</v>
      </c>
      <c r="H39" s="98"/>
    </row>
    <row r="40" spans="5:8" s="61" customFormat="1" ht="15" customHeight="1">
      <c r="E40" s="8" t="s">
        <v>35</v>
      </c>
      <c r="F40" s="213">
        <f>+E19</f>
        <v>296898.13</v>
      </c>
      <c r="G40" s="86">
        <v>480000</v>
      </c>
      <c r="H40" s="161"/>
    </row>
    <row r="41" spans="5:8" s="61" customFormat="1" ht="15" customHeight="1">
      <c r="E41" s="8" t="s">
        <v>36</v>
      </c>
      <c r="F41" s="222">
        <v>495000</v>
      </c>
      <c r="G41" s="86"/>
      <c r="H41" s="81"/>
    </row>
    <row r="42" spans="5:8" s="61" customFormat="1" ht="15" customHeight="1">
      <c r="E42" s="8" t="s">
        <v>37</v>
      </c>
      <c r="F42" s="222">
        <v>0</v>
      </c>
      <c r="G42" s="86">
        <v>428351.62</v>
      </c>
      <c r="H42" s="8" t="s">
        <v>191</v>
      </c>
    </row>
    <row r="43" spans="5:8" s="61" customFormat="1" ht="15" customHeight="1">
      <c r="E43" s="182" t="s">
        <v>38</v>
      </c>
      <c r="F43" s="223">
        <f>SUM(F39:F42)</f>
        <v>1395152.15</v>
      </c>
      <c r="G43" s="9"/>
      <c r="H43" s="8"/>
    </row>
    <row r="44" spans="5:8" s="61" customFormat="1" ht="15" customHeight="1">
      <c r="E44" s="183"/>
      <c r="F44" s="224"/>
      <c r="G44" s="9"/>
    </row>
    <row r="45" spans="5:8" s="61" customFormat="1" ht="15" customHeight="1">
      <c r="E45" s="183" t="s">
        <v>152</v>
      </c>
      <c r="F45" s="224">
        <v>145000</v>
      </c>
      <c r="G45" s="9"/>
    </row>
    <row r="46" spans="5:8" s="61" customFormat="1" ht="15" customHeight="1">
      <c r="E46" s="183" t="s">
        <v>180</v>
      </c>
      <c r="F46" s="224">
        <v>0</v>
      </c>
      <c r="G46" s="9"/>
    </row>
    <row r="47" spans="5:8" s="61" customFormat="1" ht="15" customHeight="1">
      <c r="E47" s="183" t="s">
        <v>189</v>
      </c>
      <c r="F47" s="224">
        <v>1300000</v>
      </c>
      <c r="G47" s="9"/>
    </row>
    <row r="48" spans="5:8" s="61" customFormat="1" ht="15" customHeight="1">
      <c r="E48" s="183" t="s">
        <v>78</v>
      </c>
      <c r="F48" s="224">
        <v>90000</v>
      </c>
      <c r="G48" s="9"/>
    </row>
    <row r="49" spans="4:7" s="61" customFormat="1" ht="15" customHeight="1">
      <c r="D49" s="82"/>
      <c r="E49" s="183" t="s">
        <v>64</v>
      </c>
      <c r="F49" s="224">
        <v>0</v>
      </c>
      <c r="G49" s="9"/>
    </row>
    <row r="50" spans="4:7" s="61" customFormat="1">
      <c r="D50" s="82"/>
      <c r="E50" s="116" t="s">
        <v>24</v>
      </c>
      <c r="F50" s="220">
        <v>0</v>
      </c>
      <c r="G50" s="8"/>
    </row>
    <row r="51" spans="4:7" s="61" customFormat="1">
      <c r="D51" s="8"/>
      <c r="E51" s="116" t="s">
        <v>22</v>
      </c>
      <c r="F51" s="220">
        <f>30000</f>
        <v>30000</v>
      </c>
      <c r="G51" s="8"/>
    </row>
    <row r="52" spans="4:7" s="61" customFormat="1">
      <c r="D52" s="8"/>
      <c r="E52" s="116" t="s">
        <v>40</v>
      </c>
      <c r="F52" s="220">
        <f>170000-90000-30000</f>
        <v>50000</v>
      </c>
      <c r="G52" s="8"/>
    </row>
    <row r="53" spans="4:7" s="61" customFormat="1">
      <c r="D53" s="8"/>
      <c r="E53" s="118" t="s">
        <v>41</v>
      </c>
      <c r="F53" s="225">
        <f>SUM(F45:F52)</f>
        <v>1615000</v>
      </c>
      <c r="G53" s="8"/>
    </row>
    <row r="54" spans="4:7" s="61" customFormat="1">
      <c r="D54" s="8"/>
      <c r="E54" s="118" t="s">
        <v>42</v>
      </c>
      <c r="F54" s="225">
        <f>F43-F53</f>
        <v>-219847.85000000009</v>
      </c>
      <c r="G54" s="8"/>
    </row>
    <row r="55" spans="4:7" s="61" customFormat="1">
      <c r="D55" s="8"/>
      <c r="E55" s="82"/>
      <c r="F55" s="221"/>
      <c r="G55" s="8"/>
    </row>
    <row r="56" spans="4:7" s="61" customFormat="1">
      <c r="D56" s="8"/>
      <c r="E56" s="82" t="s">
        <v>43</v>
      </c>
      <c r="F56" s="221">
        <f>43800+180000</f>
        <v>223800</v>
      </c>
      <c r="G56" s="8"/>
    </row>
    <row r="57" spans="4:7" s="61" customFormat="1">
      <c r="D57" s="8"/>
      <c r="E57" s="82" t="s">
        <v>44</v>
      </c>
      <c r="F57" s="221">
        <f>100000+350000-20000-40000+165000+10000-200000</f>
        <v>365000</v>
      </c>
      <c r="G57" s="82"/>
    </row>
    <row r="58" spans="4:7" s="61" customFormat="1">
      <c r="D58" s="8"/>
      <c r="E58" s="82" t="s">
        <v>91</v>
      </c>
      <c r="F58" s="226">
        <v>0</v>
      </c>
      <c r="G58" s="82"/>
    </row>
    <row r="59" spans="4:7" s="61" customFormat="1">
      <c r="D59" s="8"/>
      <c r="E59" s="118" t="s">
        <v>46</v>
      </c>
      <c r="F59" s="227">
        <f>SUM(F56:F58)</f>
        <v>588800</v>
      </c>
      <c r="G59" s="82"/>
    </row>
    <row r="60" spans="4:7" s="61" customFormat="1">
      <c r="D60" s="8"/>
      <c r="E60" s="82"/>
      <c r="F60" s="221"/>
      <c r="G60" s="82"/>
    </row>
    <row r="61" spans="4:7">
      <c r="D61" s="8"/>
      <c r="E61" s="118" t="s">
        <v>47</v>
      </c>
      <c r="F61" s="227">
        <f>F54-F59</f>
        <v>-808647.85000000009</v>
      </c>
      <c r="G61" s="82"/>
    </row>
    <row r="62" spans="4:7">
      <c r="D62" s="8"/>
      <c r="E62" s="8"/>
      <c r="F62" s="220"/>
      <c r="G62" s="8"/>
    </row>
    <row r="63" spans="4:7">
      <c r="D63" s="8"/>
      <c r="E63" s="8"/>
      <c r="F63" s="220"/>
      <c r="G63" s="8"/>
    </row>
    <row r="64" spans="4:7">
      <c r="D64" s="383" t="s">
        <v>192</v>
      </c>
      <c r="E64" s="383"/>
      <c r="F64" s="383"/>
      <c r="G64" s="8"/>
    </row>
    <row r="65" spans="4:7">
      <c r="D65" s="247" t="s">
        <v>194</v>
      </c>
      <c r="E65" s="247" t="s">
        <v>193</v>
      </c>
      <c r="F65" s="248" t="s">
        <v>24</v>
      </c>
      <c r="G65" s="8"/>
    </row>
    <row r="66" spans="4:7">
      <c r="D66" s="8" t="s">
        <v>9</v>
      </c>
      <c r="E66" s="249">
        <v>0</v>
      </c>
      <c r="F66" s="250">
        <v>20000</v>
      </c>
      <c r="G66" s="8"/>
    </row>
    <row r="67" spans="4:7">
      <c r="D67" s="8" t="s">
        <v>195</v>
      </c>
      <c r="E67" s="249">
        <v>125838.99076255714</v>
      </c>
      <c r="F67" s="250">
        <v>28487.100420091323</v>
      </c>
      <c r="G67" s="8"/>
    </row>
    <row r="68" spans="4:7">
      <c r="D68" s="8" t="s">
        <v>188</v>
      </c>
      <c r="E68" s="249">
        <v>254025.53</v>
      </c>
      <c r="F68" s="250"/>
      <c r="G68" s="8"/>
    </row>
    <row r="69" spans="4:7">
      <c r="D69" s="8"/>
      <c r="E69" s="124">
        <f>SUM(E66:E68)</f>
        <v>379864.52076255716</v>
      </c>
      <c r="F69" s="250">
        <f>SUM(F66:F68)</f>
        <v>48487.100420091323</v>
      </c>
      <c r="G69" s="124">
        <f>SUM(E69:F69)</f>
        <v>428351.62118264847</v>
      </c>
    </row>
  </sheetData>
  <mergeCells count="17">
    <mergeCell ref="G27:H27"/>
    <mergeCell ref="B29:D29"/>
    <mergeCell ref="B30:D30"/>
    <mergeCell ref="D64:F64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EE18F-FE12-49EA-B580-FC3CEE9E721C}">
  <dimension ref="A6:K69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</cols>
  <sheetData>
    <row r="6" spans="1:11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1">
      <c r="A7" s="1"/>
      <c r="B7" s="1"/>
      <c r="C7" s="1"/>
      <c r="D7" s="1"/>
      <c r="E7" s="1"/>
      <c r="F7" s="215"/>
      <c r="G7" s="1"/>
      <c r="H7" s="1"/>
      <c r="I7" s="1"/>
      <c r="J7" s="76"/>
      <c r="K7" s="1"/>
    </row>
    <row r="8" spans="1:11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1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1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1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1" ht="18" thickBot="1">
      <c r="A12" s="11"/>
      <c r="B12" s="331" t="s">
        <v>2</v>
      </c>
      <c r="C12" s="332"/>
      <c r="D12" s="332"/>
      <c r="E12" s="333"/>
      <c r="F12" s="217"/>
      <c r="G12" s="1"/>
      <c r="H12" s="1"/>
      <c r="I12" s="1"/>
      <c r="J12" s="76"/>
      <c r="K12" s="1"/>
    </row>
    <row r="13" spans="1:11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</row>
    <row r="14" spans="1:11" ht="15" thickBot="1">
      <c r="A14" s="1"/>
      <c r="B14" s="334" t="s">
        <v>3</v>
      </c>
      <c r="C14" s="335"/>
      <c r="D14" s="336"/>
      <c r="E14" s="17">
        <f>SUM(E15:E17)</f>
        <v>836999.73</v>
      </c>
      <c r="F14" s="153"/>
      <c r="G14" s="331" t="s">
        <v>4</v>
      </c>
      <c r="H14" s="332"/>
      <c r="I14" s="332"/>
      <c r="J14" s="332"/>
      <c r="K14" s="333"/>
    </row>
    <row r="15" spans="1:11">
      <c r="A15" s="1"/>
      <c r="B15" s="337" t="s">
        <v>5</v>
      </c>
      <c r="C15" s="338"/>
      <c r="D15" s="339"/>
      <c r="E15" s="20">
        <f>J16+J17+J18+J19</f>
        <v>687427.36</v>
      </c>
      <c r="F15" s="153">
        <f>E15+E16+E17</f>
        <v>836999.73</v>
      </c>
      <c r="G15" s="340" t="s">
        <v>6</v>
      </c>
      <c r="H15" s="341"/>
      <c r="I15" s="21"/>
      <c r="J15" s="342" t="s">
        <v>5</v>
      </c>
      <c r="K15" s="343"/>
    </row>
    <row r="16" spans="1:11">
      <c r="A16" s="1"/>
      <c r="B16" s="349" t="s">
        <v>7</v>
      </c>
      <c r="C16" s="350"/>
      <c r="D16" s="351"/>
      <c r="E16" s="20">
        <f>G22+G23</f>
        <v>23355.11</v>
      </c>
      <c r="F16" s="153">
        <v>90000</v>
      </c>
      <c r="G16" s="22">
        <v>10120.39</v>
      </c>
      <c r="H16" s="23" t="s">
        <v>8</v>
      </c>
      <c r="I16" s="24"/>
      <c r="J16" s="25">
        <v>9697.09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126217.26</v>
      </c>
      <c r="F17" s="153">
        <f>F15-F16</f>
        <v>746999.73</v>
      </c>
      <c r="G17" s="22">
        <v>26091.17</v>
      </c>
      <c r="H17" s="29" t="s">
        <v>10</v>
      </c>
      <c r="I17" s="30"/>
      <c r="J17" s="25">
        <v>83915.24</v>
      </c>
      <c r="K17" s="31" t="s">
        <v>10</v>
      </c>
    </row>
    <row r="18" spans="2:11">
      <c r="B18" s="236" t="s">
        <v>187</v>
      </c>
      <c r="C18" s="237"/>
      <c r="D18" s="238"/>
      <c r="E18" s="28">
        <f>+J22</f>
        <v>0</v>
      </c>
      <c r="F18" s="153"/>
      <c r="G18" s="22">
        <v>90005.7</v>
      </c>
      <c r="H18" s="29" t="s">
        <v>12</v>
      </c>
      <c r="I18" s="30"/>
      <c r="J18" s="25">
        <v>313844.78999999998</v>
      </c>
      <c r="K18" s="31" t="s">
        <v>12</v>
      </c>
    </row>
    <row r="19" spans="2:11">
      <c r="B19" s="379" t="s">
        <v>11</v>
      </c>
      <c r="C19" s="380"/>
      <c r="D19" s="381"/>
      <c r="E19" s="20">
        <f>G29+G31+G30+G28</f>
        <v>297016.53000000003</v>
      </c>
      <c r="F19" s="153"/>
      <c r="G19" s="33"/>
      <c r="H19" s="34"/>
      <c r="I19" s="30"/>
      <c r="J19" s="25">
        <v>279970.24</v>
      </c>
      <c r="K19" s="31" t="s">
        <v>14</v>
      </c>
    </row>
    <row r="20" spans="2:11">
      <c r="B20" s="344" t="s">
        <v>13</v>
      </c>
      <c r="C20" s="345"/>
      <c r="D20" s="346"/>
      <c r="E20" s="20">
        <v>22933151.379999999</v>
      </c>
      <c r="F20" s="153"/>
      <c r="G20" s="239"/>
      <c r="H20" s="240"/>
      <c r="I20" s="30"/>
      <c r="J20" s="25"/>
      <c r="K20" s="31"/>
    </row>
    <row r="21" spans="2:11">
      <c r="B21" s="187" t="s">
        <v>15</v>
      </c>
      <c r="C21" s="188"/>
      <c r="D21" s="189"/>
      <c r="E21" s="190">
        <f>SUM(E22:E23)</f>
        <v>136162.41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1">
      <c r="B22" s="187"/>
      <c r="C22" s="188"/>
      <c r="D22" s="198" t="s">
        <v>143</v>
      </c>
      <c r="E22" s="190">
        <v>136162.41</v>
      </c>
      <c r="F22" s="153">
        <f>SUM(E24:E30)</f>
        <v>210147.72</v>
      </c>
      <c r="G22" s="44">
        <v>11536.44</v>
      </c>
      <c r="H22" s="29" t="s">
        <v>10</v>
      </c>
      <c r="I22" s="30"/>
      <c r="J22" s="25">
        <v>0</v>
      </c>
      <c r="K22" s="31" t="s">
        <v>188</v>
      </c>
    </row>
    <row r="23" spans="2:11">
      <c r="B23" s="206"/>
      <c r="C23" s="205"/>
      <c r="D23" s="208"/>
      <c r="E23" s="190">
        <v>0</v>
      </c>
      <c r="F23" s="153">
        <f>+F17-F22</f>
        <v>536852.01</v>
      </c>
      <c r="G23" s="44">
        <v>11818.67</v>
      </c>
      <c r="H23" s="29" t="s">
        <v>18</v>
      </c>
      <c r="I23" s="30"/>
      <c r="J23" s="25"/>
      <c r="K23" s="31"/>
    </row>
    <row r="24" spans="2:11" ht="15" thickBot="1">
      <c r="B24" s="46" t="s">
        <v>17</v>
      </c>
      <c r="C24" s="47"/>
      <c r="D24" s="48"/>
      <c r="E24" s="234">
        <f>24909.82+24028.24</f>
        <v>48938.06</v>
      </c>
      <c r="F24" s="153"/>
      <c r="G24" s="51"/>
      <c r="H24" s="34"/>
      <c r="I24" s="30"/>
      <c r="J24" s="210"/>
      <c r="K24" s="53"/>
    </row>
    <row r="25" spans="2:11" ht="15" thickBot="1">
      <c r="B25" s="202" t="s">
        <v>163</v>
      </c>
      <c r="C25" s="203"/>
      <c r="D25" s="204"/>
      <c r="E25" s="49">
        <v>130000</v>
      </c>
      <c r="F25" s="153"/>
      <c r="G25" s="331" t="s">
        <v>21</v>
      </c>
      <c r="H25" s="332"/>
      <c r="I25" s="332"/>
      <c r="J25" s="332"/>
      <c r="K25" s="333"/>
    </row>
    <row r="26" spans="2:11">
      <c r="B26" s="199" t="s">
        <v>22</v>
      </c>
      <c r="C26" s="200"/>
      <c r="D26" s="201"/>
      <c r="E26" s="49">
        <v>31209.66</v>
      </c>
      <c r="F26" s="221"/>
      <c r="G26" s="54"/>
      <c r="H26" s="55"/>
      <c r="I26" s="56"/>
      <c r="J26" s="211"/>
      <c r="K26" s="58"/>
    </row>
    <row r="27" spans="2:11">
      <c r="B27" s="199" t="s">
        <v>64</v>
      </c>
      <c r="C27" s="200"/>
      <c r="D27" s="201"/>
      <c r="E27" s="49">
        <v>0</v>
      </c>
      <c r="F27" s="220"/>
      <c r="G27" s="377" t="s">
        <v>5</v>
      </c>
      <c r="H27" s="378"/>
      <c r="I27" s="59"/>
      <c r="J27" s="60"/>
      <c r="K27" s="45"/>
    </row>
    <row r="28" spans="2:11">
      <c r="B28" s="199" t="s">
        <v>52</v>
      </c>
      <c r="C28" s="200"/>
      <c r="D28" s="201"/>
      <c r="E28" s="49">
        <v>0</v>
      </c>
      <c r="F28" s="220"/>
      <c r="G28" s="22">
        <f>31811.47-11500-8500</f>
        <v>11811.470000000001</v>
      </c>
      <c r="H28" s="62" t="s">
        <v>9</v>
      </c>
      <c r="I28" s="59"/>
      <c r="J28" s="60"/>
      <c r="K28" s="45"/>
    </row>
    <row r="29" spans="2:11">
      <c r="B29" s="344" t="s">
        <v>25</v>
      </c>
      <c r="C29" s="345"/>
      <c r="D29" s="346"/>
      <c r="E29" s="49">
        <v>0</v>
      </c>
      <c r="F29" s="220"/>
      <c r="G29" s="22">
        <f>314550.03- 154326.09</f>
        <v>160223.94000000003</v>
      </c>
      <c r="H29" s="62" t="s">
        <v>26</v>
      </c>
      <c r="I29" s="63"/>
      <c r="J29" s="64" t="s">
        <v>27</v>
      </c>
      <c r="K29" s="65" t="s">
        <v>28</v>
      </c>
    </row>
    <row r="30" spans="2:11" ht="15" thickBot="1">
      <c r="B30" s="363" t="s">
        <v>29</v>
      </c>
      <c r="C30" s="364"/>
      <c r="D30" s="365"/>
      <c r="E30" s="66">
        <v>0</v>
      </c>
      <c r="F30" s="220"/>
      <c r="G30" s="67">
        <v>121699.87</v>
      </c>
      <c r="H30" s="68" t="s">
        <v>14</v>
      </c>
      <c r="I30" s="63"/>
      <c r="J30" s="64" t="s">
        <v>30</v>
      </c>
      <c r="K30" s="65" t="s">
        <v>31</v>
      </c>
    </row>
    <row r="31" spans="2:11" ht="15" thickBot="1">
      <c r="E31" s="79"/>
      <c r="F31" s="220"/>
      <c r="G31" s="71">
        <f>257306.78-254025.53</f>
        <v>3281.25</v>
      </c>
      <c r="H31" s="72" t="s">
        <v>12</v>
      </c>
      <c r="I31" s="73"/>
      <c r="J31" s="74" t="s">
        <v>32</v>
      </c>
      <c r="K31" s="75" t="s">
        <v>33</v>
      </c>
    </row>
    <row r="37" spans="5:8">
      <c r="E37" s="181" t="s">
        <v>190</v>
      </c>
      <c r="F37" s="222"/>
      <c r="G37" s="8"/>
      <c r="H37" s="13"/>
    </row>
    <row r="38" spans="5:8" s="61" customFormat="1" ht="15" customHeight="1">
      <c r="E38" s="181"/>
      <c r="F38" s="222"/>
      <c r="G38" s="8"/>
      <c r="H38" s="13"/>
    </row>
    <row r="39" spans="5:8" s="61" customFormat="1" ht="15" customHeight="1">
      <c r="E39" s="8" t="s">
        <v>34</v>
      </c>
      <c r="F39" s="222">
        <f>F17</f>
        <v>746999.73</v>
      </c>
      <c r="G39" s="86">
        <v>1659693.86</v>
      </c>
      <c r="H39" s="98"/>
    </row>
    <row r="40" spans="5:8" s="61" customFormat="1" ht="15" customHeight="1">
      <c r="E40" s="8" t="s">
        <v>35</v>
      </c>
      <c r="F40" s="213">
        <f>+E19</f>
        <v>297016.53000000003</v>
      </c>
      <c r="G40" s="86">
        <v>480000</v>
      </c>
      <c r="H40" s="161"/>
    </row>
    <row r="41" spans="5:8" s="61" customFormat="1" ht="15" customHeight="1">
      <c r="E41" s="8" t="s">
        <v>36</v>
      </c>
      <c r="F41" s="222">
        <v>495000</v>
      </c>
      <c r="G41" s="86"/>
      <c r="H41" s="81"/>
    </row>
    <row r="42" spans="5:8" s="61" customFormat="1" ht="15" customHeight="1">
      <c r="E42" s="8" t="s">
        <v>37</v>
      </c>
      <c r="F42" s="222">
        <v>0</v>
      </c>
      <c r="G42" s="86">
        <v>428351.62</v>
      </c>
      <c r="H42" s="8" t="s">
        <v>191</v>
      </c>
    </row>
    <row r="43" spans="5:8" s="61" customFormat="1" ht="15" customHeight="1">
      <c r="E43" s="182" t="s">
        <v>38</v>
      </c>
      <c r="F43" s="223">
        <f>SUM(F39:F42)</f>
        <v>1539016.26</v>
      </c>
      <c r="G43" s="9"/>
      <c r="H43" s="8"/>
    </row>
    <row r="44" spans="5:8" s="61" customFormat="1" ht="15" customHeight="1">
      <c r="E44" s="183"/>
      <c r="F44" s="224"/>
      <c r="G44" s="9"/>
    </row>
    <row r="45" spans="5:8" s="61" customFormat="1" ht="15" customHeight="1">
      <c r="E45" s="183" t="s">
        <v>152</v>
      </c>
      <c r="F45" s="224">
        <v>145000</v>
      </c>
      <c r="G45" s="9"/>
    </row>
    <row r="46" spans="5:8" s="61" customFormat="1" ht="15" customHeight="1">
      <c r="E46" s="183" t="s">
        <v>180</v>
      </c>
      <c r="F46" s="224">
        <v>0</v>
      </c>
      <c r="G46" s="9"/>
    </row>
    <row r="47" spans="5:8" s="61" customFormat="1" ht="15" customHeight="1">
      <c r="E47" s="183" t="s">
        <v>189</v>
      </c>
      <c r="F47" s="224">
        <v>1300000</v>
      </c>
      <c r="G47" s="9"/>
    </row>
    <row r="48" spans="5:8" s="61" customFormat="1" ht="15" customHeight="1">
      <c r="E48" s="183" t="s">
        <v>78</v>
      </c>
      <c r="F48" s="224">
        <v>90000</v>
      </c>
      <c r="G48" s="9"/>
    </row>
    <row r="49" spans="4:7" s="61" customFormat="1" ht="15" customHeight="1">
      <c r="D49" s="82"/>
      <c r="E49" s="183" t="s">
        <v>64</v>
      </c>
      <c r="F49" s="224">
        <v>0</v>
      </c>
      <c r="G49" s="9"/>
    </row>
    <row r="50" spans="4:7" s="61" customFormat="1">
      <c r="D50" s="82"/>
      <c r="E50" s="116" t="s">
        <v>24</v>
      </c>
      <c r="F50" s="220">
        <v>0</v>
      </c>
      <c r="G50" s="8"/>
    </row>
    <row r="51" spans="4:7" s="61" customFormat="1">
      <c r="D51" s="8"/>
      <c r="E51" s="116" t="s">
        <v>22</v>
      </c>
      <c r="F51" s="220">
        <f>30000</f>
        <v>30000</v>
      </c>
      <c r="G51" s="8"/>
    </row>
    <row r="52" spans="4:7" s="61" customFormat="1">
      <c r="D52" s="8"/>
      <c r="E52" s="116" t="s">
        <v>40</v>
      </c>
      <c r="F52" s="220">
        <f>170000-90000-30000</f>
        <v>50000</v>
      </c>
      <c r="G52" s="8"/>
    </row>
    <row r="53" spans="4:7" s="61" customFormat="1">
      <c r="D53" s="8"/>
      <c r="E53" s="118" t="s">
        <v>41</v>
      </c>
      <c r="F53" s="225">
        <f>SUM(F45:F52)</f>
        <v>1615000</v>
      </c>
      <c r="G53" s="8"/>
    </row>
    <row r="54" spans="4:7" s="61" customFormat="1">
      <c r="D54" s="8"/>
      <c r="E54" s="118" t="s">
        <v>42</v>
      </c>
      <c r="F54" s="225">
        <f>F43-F53</f>
        <v>-75983.739999999991</v>
      </c>
      <c r="G54" s="8"/>
    </row>
    <row r="55" spans="4:7" s="61" customFormat="1">
      <c r="D55" s="8"/>
      <c r="E55" s="82"/>
      <c r="F55" s="221"/>
      <c r="G55" s="8"/>
    </row>
    <row r="56" spans="4:7" s="61" customFormat="1">
      <c r="D56" s="8"/>
      <c r="E56" s="82" t="s">
        <v>43</v>
      </c>
      <c r="F56" s="221">
        <f>43800+180000</f>
        <v>223800</v>
      </c>
      <c r="G56" s="8"/>
    </row>
    <row r="57" spans="4:7" s="61" customFormat="1">
      <c r="D57" s="8"/>
      <c r="E57" s="82" t="s">
        <v>44</v>
      </c>
      <c r="F57" s="221">
        <f>100000+350000-20000-40000+165000+10000-200000</f>
        <v>365000</v>
      </c>
      <c r="G57" s="82"/>
    </row>
    <row r="58" spans="4:7" s="61" customFormat="1">
      <c r="D58" s="8"/>
      <c r="E58" s="82" t="s">
        <v>91</v>
      </c>
      <c r="F58" s="226">
        <v>0</v>
      </c>
      <c r="G58" s="82"/>
    </row>
    <row r="59" spans="4:7" s="61" customFormat="1">
      <c r="D59" s="8"/>
      <c r="E59" s="118" t="s">
        <v>46</v>
      </c>
      <c r="F59" s="227">
        <f>SUM(F56:F58)</f>
        <v>588800</v>
      </c>
      <c r="G59" s="82"/>
    </row>
    <row r="60" spans="4:7" s="61" customFormat="1">
      <c r="D60" s="8"/>
      <c r="E60" s="83"/>
      <c r="F60" s="228"/>
      <c r="G60" s="82"/>
    </row>
    <row r="61" spans="4:7">
      <c r="D61" s="8"/>
      <c r="E61" s="118" t="s">
        <v>47</v>
      </c>
      <c r="F61" s="227">
        <f>F54-F59</f>
        <v>-664783.74</v>
      </c>
      <c r="G61" s="82"/>
    </row>
    <row r="62" spans="4:7">
      <c r="D62" s="8"/>
      <c r="E62" s="8"/>
      <c r="F62" s="220"/>
      <c r="G62" s="8"/>
    </row>
    <row r="63" spans="4:7">
      <c r="D63" s="8"/>
      <c r="E63" s="8"/>
      <c r="F63" s="220"/>
      <c r="G63" s="8"/>
    </row>
    <row r="64" spans="4:7">
      <c r="D64" s="383" t="s">
        <v>192</v>
      </c>
      <c r="E64" s="383"/>
      <c r="F64" s="383"/>
      <c r="G64" s="8"/>
    </row>
    <row r="65" spans="4:7">
      <c r="D65" s="247" t="s">
        <v>194</v>
      </c>
      <c r="E65" s="247" t="s">
        <v>193</v>
      </c>
      <c r="F65" s="248" t="s">
        <v>24</v>
      </c>
      <c r="G65" s="8"/>
    </row>
    <row r="66" spans="4:7">
      <c r="D66" s="8" t="s">
        <v>9</v>
      </c>
      <c r="E66" s="249">
        <v>0</v>
      </c>
      <c r="F66" s="250">
        <v>20000</v>
      </c>
      <c r="G66" s="8"/>
    </row>
    <row r="67" spans="4:7">
      <c r="D67" s="8" t="s">
        <v>195</v>
      </c>
      <c r="E67" s="249">
        <v>125838.99076255714</v>
      </c>
      <c r="F67" s="250">
        <v>28487.100420091323</v>
      </c>
      <c r="G67" s="8"/>
    </row>
    <row r="68" spans="4:7">
      <c r="D68" s="8" t="s">
        <v>188</v>
      </c>
      <c r="E68" s="249">
        <v>254025.53</v>
      </c>
      <c r="F68" s="250"/>
      <c r="G68" s="8"/>
    </row>
    <row r="69" spans="4:7">
      <c r="D69" s="8"/>
      <c r="E69" s="124">
        <f>SUM(E66:E68)</f>
        <v>379864.52076255716</v>
      </c>
      <c r="F69" s="250">
        <f>SUM(F66:F68)</f>
        <v>48487.100420091323</v>
      </c>
      <c r="G69" s="124">
        <f>SUM(E69:F69)</f>
        <v>428351.62118264847</v>
      </c>
    </row>
  </sheetData>
  <mergeCells count="17">
    <mergeCell ref="E10:F10"/>
    <mergeCell ref="B12:E12"/>
    <mergeCell ref="B14:D14"/>
    <mergeCell ref="G14:K14"/>
    <mergeCell ref="B15:D15"/>
    <mergeCell ref="G15:H15"/>
    <mergeCell ref="J15:K15"/>
    <mergeCell ref="G27:H27"/>
    <mergeCell ref="B29:D29"/>
    <mergeCell ref="B30:D30"/>
    <mergeCell ref="D64:F64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6E079-1614-41EF-988B-B96729E102D2}">
  <dimension ref="B6:P61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79" customWidth="1"/>
    <col min="7" max="7" width="15.7265625" customWidth="1"/>
    <col min="8" max="8" width="19.7265625" customWidth="1"/>
    <col min="9" max="9" width="1.453125" customWidth="1"/>
    <col min="10" max="10" width="24.26953125" customWidth="1"/>
    <col min="11" max="11" width="22.26953125" bestFit="1" customWidth="1"/>
    <col min="12" max="12" width="20.26953125" bestFit="1" customWidth="1"/>
    <col min="13" max="13" width="16.269531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3" s="8" customFormat="1" ht="18">
      <c r="B6" s="5"/>
      <c r="C6" s="5"/>
      <c r="D6" s="5"/>
      <c r="E6" s="6" t="s">
        <v>0</v>
      </c>
      <c r="F6" s="7"/>
      <c r="G6" s="5"/>
      <c r="H6" s="5"/>
      <c r="I6" s="5"/>
      <c r="J6" s="5"/>
      <c r="K6" s="5"/>
    </row>
    <row r="7" spans="2:13">
      <c r="B7" s="1"/>
      <c r="C7" s="1"/>
      <c r="D7" s="1"/>
      <c r="E7" s="1"/>
      <c r="F7" s="2"/>
      <c r="G7" s="1"/>
      <c r="H7" s="1"/>
      <c r="I7" s="1"/>
      <c r="J7" s="1"/>
      <c r="K7" s="1"/>
    </row>
    <row r="8" spans="2:13">
      <c r="B8" s="1"/>
      <c r="C8" s="1"/>
      <c r="D8" s="1"/>
      <c r="E8" s="1"/>
      <c r="F8" s="2"/>
      <c r="G8" s="1"/>
      <c r="H8" s="1"/>
      <c r="I8" s="4"/>
      <c r="J8" s="1"/>
      <c r="K8" s="1"/>
    </row>
    <row r="9" spans="2:13">
      <c r="B9" s="1"/>
      <c r="C9" s="1"/>
      <c r="D9" s="1"/>
      <c r="E9" s="1"/>
      <c r="F9" s="2"/>
      <c r="G9" s="1"/>
      <c r="H9" s="1"/>
      <c r="I9" s="4"/>
      <c r="J9" s="1"/>
      <c r="K9" s="1"/>
    </row>
    <row r="10" spans="2:13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3" ht="15" thickBot="1">
      <c r="B11" s="1"/>
      <c r="C11" s="1"/>
      <c r="D11" s="1"/>
      <c r="E11" s="1"/>
      <c r="F11" s="2"/>
      <c r="G11" s="1"/>
      <c r="H11" s="1"/>
      <c r="I11" s="1"/>
      <c r="J11" s="1"/>
      <c r="K11" s="1"/>
    </row>
    <row r="12" spans="2:13" ht="18" thickBot="1">
      <c r="B12" s="331" t="s">
        <v>2</v>
      </c>
      <c r="C12" s="332"/>
      <c r="D12" s="332"/>
      <c r="E12" s="333"/>
      <c r="F12" s="12"/>
      <c r="G12" s="1"/>
      <c r="H12" s="1"/>
      <c r="I12" s="1"/>
      <c r="J12" s="1"/>
      <c r="K12" s="1"/>
      <c r="L12" s="13"/>
      <c r="M12" t="s">
        <v>20</v>
      </c>
    </row>
    <row r="13" spans="2:13" ht="18" thickBot="1">
      <c r="B13" s="1"/>
      <c r="C13" s="1"/>
      <c r="D13" s="1"/>
      <c r="E13" s="1"/>
      <c r="F13" s="123"/>
      <c r="G13" s="11"/>
      <c r="H13" s="11"/>
      <c r="I13" s="11"/>
      <c r="J13" s="15"/>
      <c r="K13" s="16"/>
      <c r="L13" s="13"/>
    </row>
    <row r="14" spans="2:13" ht="15" thickBot="1">
      <c r="B14" s="334" t="s">
        <v>3</v>
      </c>
      <c r="C14" s="335"/>
      <c r="D14" s="336"/>
      <c r="E14" s="17">
        <f>SUM(E15:E17)</f>
        <v>115298.41999999998</v>
      </c>
      <c r="F14" s="18"/>
      <c r="G14" s="331" t="s">
        <v>4</v>
      </c>
      <c r="H14" s="332"/>
      <c r="I14" s="332"/>
      <c r="J14" s="332"/>
      <c r="K14" s="333"/>
      <c r="L14" s="19"/>
    </row>
    <row r="15" spans="2:13">
      <c r="B15" s="337" t="s">
        <v>5</v>
      </c>
      <c r="C15" s="338"/>
      <c r="D15" s="339"/>
      <c r="E15" s="20">
        <f>J16+J17+J18+J19</f>
        <v>50220.57</v>
      </c>
      <c r="F15" s="108">
        <f>E15+E16+E17</f>
        <v>115298.41999999998</v>
      </c>
      <c r="G15" s="340" t="s">
        <v>6</v>
      </c>
      <c r="H15" s="341"/>
      <c r="I15" s="21"/>
      <c r="J15" s="342" t="s">
        <v>5</v>
      </c>
      <c r="K15" s="343"/>
      <c r="L15" s="13"/>
    </row>
    <row r="16" spans="2:13">
      <c r="B16" s="349" t="s">
        <v>7</v>
      </c>
      <c r="C16" s="350"/>
      <c r="D16" s="351"/>
      <c r="E16" s="20">
        <f>G21+G22</f>
        <v>23368.949999999997</v>
      </c>
      <c r="F16" s="108">
        <v>90000</v>
      </c>
      <c r="G16" s="22">
        <v>12592.59</v>
      </c>
      <c r="H16" s="23" t="s">
        <v>8</v>
      </c>
      <c r="I16" s="24"/>
      <c r="J16" s="25">
        <v>12272.72</v>
      </c>
      <c r="K16" s="26" t="s">
        <v>9</v>
      </c>
      <c r="L16" s="13"/>
    </row>
    <row r="17" spans="2:14">
      <c r="B17" s="352" t="s">
        <v>6</v>
      </c>
      <c r="C17" s="353"/>
      <c r="D17" s="354"/>
      <c r="E17" s="28">
        <f>G16+G17+G18</f>
        <v>41708.9</v>
      </c>
      <c r="F17" s="108">
        <f>F15-F16</f>
        <v>25298.419999999984</v>
      </c>
      <c r="G17" s="22">
        <v>12325.68</v>
      </c>
      <c r="H17" s="29" t="s">
        <v>10</v>
      </c>
      <c r="I17" s="30"/>
      <c r="J17" s="25">
        <v>14828.71</v>
      </c>
      <c r="K17" s="31" t="s">
        <v>10</v>
      </c>
      <c r="L17" s="13"/>
    </row>
    <row r="18" spans="2:14">
      <c r="B18" s="355" t="s">
        <v>11</v>
      </c>
      <c r="C18" s="356"/>
      <c r="D18" s="357"/>
      <c r="E18" s="20">
        <f>G28+G30+G29+G27</f>
        <v>2861403.4699999997</v>
      </c>
      <c r="F18" s="109"/>
      <c r="G18" s="22">
        <v>16790.63</v>
      </c>
      <c r="H18" s="29" t="s">
        <v>12</v>
      </c>
      <c r="I18" s="30"/>
      <c r="J18" s="25">
        <v>10736.6</v>
      </c>
      <c r="K18" s="31" t="s">
        <v>12</v>
      </c>
      <c r="L18" s="32"/>
    </row>
    <row r="19" spans="2:14">
      <c r="B19" s="344" t="s">
        <v>13</v>
      </c>
      <c r="C19" s="345"/>
      <c r="D19" s="346"/>
      <c r="E19" s="20">
        <v>14405669.960000001</v>
      </c>
      <c r="F19" s="108"/>
      <c r="G19" s="33"/>
      <c r="H19" s="34"/>
      <c r="I19" s="30"/>
      <c r="J19" s="25">
        <v>12382.54</v>
      </c>
      <c r="K19" s="31" t="s">
        <v>14</v>
      </c>
      <c r="L19" s="13"/>
    </row>
    <row r="20" spans="2:14">
      <c r="B20" s="358" t="s">
        <v>15</v>
      </c>
      <c r="C20" s="359"/>
      <c r="D20" s="360"/>
      <c r="E20" s="35">
        <f>SUM(E21:E22)</f>
        <v>0</v>
      </c>
      <c r="F20" s="14"/>
      <c r="G20" s="361" t="s">
        <v>16</v>
      </c>
      <c r="H20" s="362"/>
      <c r="I20" s="36"/>
      <c r="J20" s="37"/>
      <c r="K20" s="38"/>
      <c r="L20" s="39"/>
    </row>
    <row r="21" spans="2:14">
      <c r="B21" s="40"/>
      <c r="C21" s="41"/>
      <c r="D21" s="122"/>
      <c r="E21" s="43">
        <v>0</v>
      </c>
      <c r="F21" s="14"/>
      <c r="G21" s="44">
        <v>11401.56</v>
      </c>
      <c r="H21" s="29" t="s">
        <v>10</v>
      </c>
      <c r="I21" s="30"/>
      <c r="J21" s="37"/>
      <c r="K21" s="45"/>
      <c r="L21" s="39"/>
    </row>
    <row r="22" spans="2:14">
      <c r="B22" s="40"/>
      <c r="C22" s="41"/>
      <c r="D22" s="122"/>
      <c r="E22" s="43">
        <v>0</v>
      </c>
      <c r="F22" s="14"/>
      <c r="G22" s="44">
        <v>11967.39</v>
      </c>
      <c r="H22" s="29" t="s">
        <v>18</v>
      </c>
      <c r="I22" s="30"/>
      <c r="J22" s="50"/>
      <c r="K22" s="38"/>
      <c r="L22" s="39"/>
    </row>
    <row r="23" spans="2:14" ht="15" thickBot="1">
      <c r="B23" s="46" t="s">
        <v>17</v>
      </c>
      <c r="C23" s="47"/>
      <c r="D23" s="48"/>
      <c r="E23" s="49">
        <v>248542.48</v>
      </c>
      <c r="F23" s="14"/>
      <c r="G23" s="51"/>
      <c r="H23" s="34"/>
      <c r="I23" s="30"/>
      <c r="J23" s="52"/>
      <c r="K23" s="53"/>
      <c r="L23" s="39"/>
      <c r="N23" t="s">
        <v>20</v>
      </c>
    </row>
    <row r="24" spans="2:14" ht="15" thickBot="1">
      <c r="B24" s="366" t="s">
        <v>58</v>
      </c>
      <c r="C24" s="367"/>
      <c r="D24" s="368"/>
      <c r="E24" s="49">
        <v>0</v>
      </c>
      <c r="F24" s="8"/>
      <c r="G24" s="331" t="s">
        <v>21</v>
      </c>
      <c r="H24" s="332"/>
      <c r="I24" s="332"/>
      <c r="J24" s="332"/>
      <c r="K24" s="333"/>
      <c r="L24" s="39"/>
    </row>
    <row r="25" spans="2:14">
      <c r="B25" s="344" t="s">
        <v>59</v>
      </c>
      <c r="C25" s="345"/>
      <c r="D25" s="346"/>
      <c r="E25" s="49">
        <v>0</v>
      </c>
      <c r="F25" s="8"/>
      <c r="G25" s="54"/>
      <c r="H25" s="55"/>
      <c r="I25" s="56"/>
      <c r="J25" s="57"/>
      <c r="K25" s="58"/>
      <c r="L25" s="39"/>
    </row>
    <row r="26" spans="2:14">
      <c r="B26" s="344" t="s">
        <v>22</v>
      </c>
      <c r="C26" s="345"/>
      <c r="D26" s="346"/>
      <c r="E26" s="49">
        <v>20798.599999999999</v>
      </c>
      <c r="F26" s="9">
        <v>0</v>
      </c>
      <c r="G26" s="347" t="s">
        <v>5</v>
      </c>
      <c r="H26" s="348"/>
      <c r="I26" s="59"/>
      <c r="J26" s="60"/>
      <c r="K26" s="45"/>
      <c r="L26" s="61"/>
    </row>
    <row r="27" spans="2:14">
      <c r="B27" s="344" t="s">
        <v>64</v>
      </c>
      <c r="C27" s="345"/>
      <c r="D27" s="346"/>
      <c r="E27" s="49">
        <v>0</v>
      </c>
      <c r="F27" s="14">
        <v>20000</v>
      </c>
      <c r="G27" s="22">
        <f>31561.92-11500</f>
        <v>20061.919999999998</v>
      </c>
      <c r="H27" s="62" t="s">
        <v>9</v>
      </c>
      <c r="I27" s="59"/>
      <c r="J27" s="60"/>
      <c r="K27" s="45"/>
      <c r="L27" s="61"/>
    </row>
    <row r="28" spans="2:14">
      <c r="B28" s="344" t="s">
        <v>24</v>
      </c>
      <c r="C28" s="345"/>
      <c r="D28" s="346"/>
      <c r="E28" s="49">
        <v>0</v>
      </c>
      <c r="F28" s="14">
        <v>40000</v>
      </c>
      <c r="G28" s="22">
        <v>42049.69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4">
      <c r="B29" s="344" t="s">
        <v>25</v>
      </c>
      <c r="C29" s="345"/>
      <c r="D29" s="346"/>
      <c r="E29" s="49">
        <v>0</v>
      </c>
      <c r="F29" s="14">
        <v>30000</v>
      </c>
      <c r="G29" s="67">
        <v>31301.599999999999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4" ht="15" thickBot="1">
      <c r="B30" s="363" t="s">
        <v>29</v>
      </c>
      <c r="C30" s="364"/>
      <c r="D30" s="365"/>
      <c r="E30" s="66">
        <v>20000</v>
      </c>
      <c r="F30" s="14">
        <v>2765000</v>
      </c>
      <c r="G30" s="71">
        <v>2767990.26</v>
      </c>
      <c r="H30" s="72" t="s">
        <v>12</v>
      </c>
      <c r="I30" s="73"/>
      <c r="J30" s="74" t="s">
        <v>32</v>
      </c>
      <c r="K30" s="75" t="s">
        <v>33</v>
      </c>
      <c r="L30" s="61"/>
    </row>
    <row r="31" spans="2:14">
      <c r="B31" s="69"/>
      <c r="C31" s="69"/>
      <c r="D31" s="70"/>
      <c r="E31" s="70"/>
      <c r="F31" s="124">
        <f>SUM(F26:F30)</f>
        <v>2855000</v>
      </c>
      <c r="G31" s="76"/>
      <c r="H31" s="76"/>
      <c r="I31" s="76"/>
      <c r="J31" s="76"/>
      <c r="K31" s="1"/>
      <c r="L31" s="77"/>
    </row>
    <row r="34" spans="5:7">
      <c r="E34" s="110" t="s">
        <v>66</v>
      </c>
      <c r="F34" s="110"/>
    </row>
    <row r="35" spans="5:7">
      <c r="E35" s="110"/>
      <c r="F35" s="110"/>
    </row>
    <row r="36" spans="5:7">
      <c r="E36" s="82" t="s">
        <v>34</v>
      </c>
      <c r="F36" s="86">
        <f>F17</f>
        <v>25298.419999999984</v>
      </c>
    </row>
    <row r="37" spans="5:7">
      <c r="E37" s="82" t="s">
        <v>35</v>
      </c>
      <c r="F37" s="86">
        <f>+F31</f>
        <v>2855000</v>
      </c>
    </row>
    <row r="38" spans="5:7" s="61" customFormat="1" ht="15" customHeight="1">
      <c r="E38" s="82" t="s">
        <v>36</v>
      </c>
      <c r="F38" s="86">
        <v>0</v>
      </c>
      <c r="G38" s="8"/>
    </row>
    <row r="39" spans="5:7" s="61" customFormat="1" ht="15" customHeight="1">
      <c r="E39" s="82" t="s">
        <v>37</v>
      </c>
      <c r="F39" s="86">
        <v>0</v>
      </c>
      <c r="G39" s="86"/>
    </row>
    <row r="40" spans="5:7" s="61" customFormat="1" ht="15" customHeight="1">
      <c r="E40" s="112" t="s">
        <v>38</v>
      </c>
      <c r="F40" s="111">
        <f>SUM(F36:F39)</f>
        <v>2880298.42</v>
      </c>
      <c r="G40" s="86"/>
    </row>
    <row r="41" spans="5:7" s="61" customFormat="1" ht="15" customHeight="1">
      <c r="E41" s="113"/>
      <c r="F41" s="94"/>
      <c r="G41" s="86"/>
    </row>
    <row r="42" spans="5:7" s="61" customFormat="1" ht="15" customHeight="1">
      <c r="E42" s="114" t="s">
        <v>65</v>
      </c>
      <c r="F42" s="94">
        <v>75000</v>
      </c>
      <c r="G42" s="9"/>
    </row>
    <row r="43" spans="5:7" s="61" customFormat="1" ht="15" customHeight="1">
      <c r="E43" s="113" t="s">
        <v>67</v>
      </c>
      <c r="F43" s="94">
        <v>1450000</v>
      </c>
      <c r="G43" s="9"/>
    </row>
    <row r="44" spans="5:7" s="61" customFormat="1" ht="15" customHeight="1">
      <c r="E44" s="115" t="s">
        <v>68</v>
      </c>
      <c r="F44" s="94">
        <v>67500</v>
      </c>
      <c r="G44" s="9"/>
    </row>
    <row r="45" spans="5:7" s="61" customFormat="1" ht="15" customHeight="1">
      <c r="E45" s="116" t="s">
        <v>24</v>
      </c>
      <c r="F45" s="117">
        <v>0</v>
      </c>
      <c r="G45" s="94">
        <v>810000</v>
      </c>
    </row>
    <row r="46" spans="5:7" s="61" customFormat="1" ht="15" customHeight="1">
      <c r="E46" s="116" t="s">
        <v>39</v>
      </c>
      <c r="F46" s="117">
        <v>2000</v>
      </c>
      <c r="G46" s="9"/>
    </row>
    <row r="47" spans="5:7" s="61" customFormat="1" ht="15" customHeight="1">
      <c r="E47" s="116" t="s">
        <v>22</v>
      </c>
      <c r="F47" s="117">
        <v>60000</v>
      </c>
      <c r="G47" s="9"/>
    </row>
    <row r="48" spans="5:7" s="61" customFormat="1" ht="15" customHeight="1">
      <c r="E48" s="116" t="s">
        <v>69</v>
      </c>
      <c r="F48" s="117">
        <v>58322</v>
      </c>
      <c r="G48" s="9"/>
    </row>
    <row r="49" spans="5:7" s="61" customFormat="1" ht="15" customHeight="1">
      <c r="E49" s="116" t="s">
        <v>52</v>
      </c>
      <c r="F49" s="117">
        <v>0</v>
      </c>
      <c r="G49" s="9"/>
    </row>
    <row r="50" spans="5:7" s="61" customFormat="1" ht="15" customHeight="1">
      <c r="E50" s="116" t="s">
        <v>54</v>
      </c>
      <c r="F50" s="117">
        <v>20000</v>
      </c>
      <c r="G50" s="9"/>
    </row>
    <row r="51" spans="5:7" s="61" customFormat="1" ht="15" customHeight="1">
      <c r="E51" s="116" t="s">
        <v>55</v>
      </c>
      <c r="F51" s="117">
        <v>250000</v>
      </c>
      <c r="G51" s="9"/>
    </row>
    <row r="52" spans="5:7" s="61" customFormat="1" ht="15" customHeight="1">
      <c r="E52" s="116" t="s">
        <v>40</v>
      </c>
      <c r="F52" s="94">
        <v>100000</v>
      </c>
      <c r="G52" s="9"/>
    </row>
    <row r="53" spans="5:7" s="61" customFormat="1" ht="15" customHeight="1">
      <c r="E53" s="118" t="s">
        <v>41</v>
      </c>
      <c r="F53" s="119">
        <f>SUM(F42:F52)</f>
        <v>2082822</v>
      </c>
      <c r="G53" s="82"/>
    </row>
    <row r="54" spans="5:7" s="61" customFormat="1" ht="15" customHeight="1">
      <c r="E54" s="118" t="s">
        <v>42</v>
      </c>
      <c r="F54" s="119">
        <f>F40-F53</f>
        <v>797476.41999999993</v>
      </c>
      <c r="G54" s="82"/>
    </row>
    <row r="55" spans="5:7" s="61" customFormat="1" ht="15" customHeight="1">
      <c r="E55" s="82"/>
      <c r="F55" s="82"/>
      <c r="G55" s="8"/>
    </row>
    <row r="56" spans="5:7" s="61" customFormat="1">
      <c r="E56" s="82" t="s">
        <v>43</v>
      </c>
      <c r="F56" s="81">
        <f>43800+180000</f>
        <v>223800</v>
      </c>
      <c r="G56" s="8"/>
    </row>
    <row r="57" spans="5:7" s="61" customFormat="1">
      <c r="E57" s="82" t="s">
        <v>44</v>
      </c>
      <c r="F57" s="81">
        <v>0</v>
      </c>
      <c r="G57" s="8"/>
    </row>
    <row r="58" spans="5:7" s="61" customFormat="1">
      <c r="E58" s="82" t="s">
        <v>45</v>
      </c>
      <c r="F58" s="117">
        <v>0</v>
      </c>
      <c r="G58" s="8"/>
    </row>
    <row r="59" spans="5:7" s="61" customFormat="1">
      <c r="E59" s="118" t="s">
        <v>46</v>
      </c>
      <c r="F59" s="120">
        <f>SUM(F56:F58)</f>
        <v>223800</v>
      </c>
      <c r="G59" s="8"/>
    </row>
    <row r="60" spans="5:7" s="61" customFormat="1">
      <c r="E60" s="82"/>
      <c r="F60" s="82"/>
      <c r="G60" s="8"/>
    </row>
    <row r="61" spans="5:7" s="61" customFormat="1">
      <c r="E61" s="118" t="s">
        <v>47</v>
      </c>
      <c r="F61" s="121">
        <f>F54-F59</f>
        <v>573676.41999999993</v>
      </c>
      <c r="G61" s="8"/>
    </row>
  </sheetData>
  <mergeCells count="22">
    <mergeCell ref="B28:D28"/>
    <mergeCell ref="B29:D29"/>
    <mergeCell ref="B30:D30"/>
    <mergeCell ref="B24:D24"/>
    <mergeCell ref="G24:K24"/>
    <mergeCell ref="B25:D25"/>
    <mergeCell ref="B26:D26"/>
    <mergeCell ref="G26:H26"/>
    <mergeCell ref="B27:D27"/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</mergeCells>
  <pageMargins left="0.7" right="0.7" top="0.75" bottom="0.75" header="0.3" footer="0.3"/>
  <drawing r:id="rId1"/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7B768-2740-42A3-A72A-8334172B6D5C}">
  <dimension ref="A6:K69"/>
  <sheetViews>
    <sheetView showGridLines="0" topLeftCell="A12" workbookViewId="0">
      <selection activeCell="A12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</cols>
  <sheetData>
    <row r="6" spans="1:11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1">
      <c r="A7" s="1"/>
      <c r="B7" s="1"/>
      <c r="C7" s="1"/>
      <c r="D7" s="1"/>
      <c r="E7" s="1"/>
      <c r="F7" s="215"/>
      <c r="G7" s="1"/>
      <c r="H7" s="1"/>
      <c r="I7" s="1"/>
      <c r="J7" s="76"/>
      <c r="K7" s="1"/>
    </row>
    <row r="8" spans="1:11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1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1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1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1" ht="18" thickBot="1">
      <c r="A12" s="11"/>
      <c r="B12" s="331" t="s">
        <v>2</v>
      </c>
      <c r="C12" s="332"/>
      <c r="D12" s="332"/>
      <c r="E12" s="333"/>
      <c r="F12" s="217"/>
      <c r="G12" s="1"/>
      <c r="H12" s="1"/>
      <c r="I12" s="1"/>
      <c r="J12" s="76"/>
      <c r="K12" s="1"/>
    </row>
    <row r="13" spans="1:11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</row>
    <row r="14" spans="1:11" ht="15" thickBot="1">
      <c r="A14" s="1"/>
      <c r="B14" s="334" t="s">
        <v>3</v>
      </c>
      <c r="C14" s="335"/>
      <c r="D14" s="336"/>
      <c r="E14" s="17">
        <f>SUM(E15:E17)</f>
        <v>951603.82000000007</v>
      </c>
      <c r="F14" s="153"/>
      <c r="G14" s="331" t="s">
        <v>4</v>
      </c>
      <c r="H14" s="332"/>
      <c r="I14" s="332"/>
      <c r="J14" s="332"/>
      <c r="K14" s="333"/>
    </row>
    <row r="15" spans="1:11">
      <c r="A15" s="1"/>
      <c r="B15" s="337" t="s">
        <v>5</v>
      </c>
      <c r="C15" s="338"/>
      <c r="D15" s="339"/>
      <c r="E15" s="20">
        <f>J16+J17+J18+J19</f>
        <v>706637.92999999993</v>
      </c>
      <c r="F15" s="153">
        <f>E15+E16+E17</f>
        <v>951603.82000000007</v>
      </c>
      <c r="G15" s="340" t="s">
        <v>6</v>
      </c>
      <c r="H15" s="341"/>
      <c r="I15" s="21"/>
      <c r="J15" s="342" t="s">
        <v>5</v>
      </c>
      <c r="K15" s="343"/>
    </row>
    <row r="16" spans="1:11">
      <c r="A16" s="1"/>
      <c r="B16" s="349" t="s">
        <v>7</v>
      </c>
      <c r="C16" s="350"/>
      <c r="D16" s="351"/>
      <c r="E16" s="20">
        <f>G22+G23</f>
        <v>25634.309999999998</v>
      </c>
      <c r="F16" s="153">
        <v>90000</v>
      </c>
      <c r="G16" s="22">
        <v>10049.19</v>
      </c>
      <c r="H16" s="23" t="s">
        <v>8</v>
      </c>
      <c r="I16" s="24"/>
      <c r="J16" s="25">
        <v>9697.09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219331.58000000002</v>
      </c>
      <c r="F17" s="153">
        <f>F15-F16</f>
        <v>861603.82000000007</v>
      </c>
      <c r="G17" s="22">
        <v>71785.990000000005</v>
      </c>
      <c r="H17" s="29" t="s">
        <v>10</v>
      </c>
      <c r="I17" s="30"/>
      <c r="J17" s="25">
        <v>19389.64</v>
      </c>
      <c r="K17" s="31" t="s">
        <v>10</v>
      </c>
    </row>
    <row r="18" spans="2:11">
      <c r="B18" s="236" t="s">
        <v>187</v>
      </c>
      <c r="C18" s="237"/>
      <c r="D18" s="238"/>
      <c r="E18" s="28">
        <f>+J22</f>
        <v>0</v>
      </c>
      <c r="F18" s="153"/>
      <c r="G18" s="22">
        <v>137496.4</v>
      </c>
      <c r="H18" s="29" t="s">
        <v>12</v>
      </c>
      <c r="I18" s="30"/>
      <c r="J18" s="25">
        <v>288071.39</v>
      </c>
      <c r="K18" s="31" t="s">
        <v>12</v>
      </c>
    </row>
    <row r="19" spans="2:11">
      <c r="B19" s="379" t="s">
        <v>11</v>
      </c>
      <c r="C19" s="380"/>
      <c r="D19" s="381"/>
      <c r="E19" s="20">
        <f>G29+G31+G30+G28</f>
        <v>237159.06</v>
      </c>
      <c r="F19" s="153"/>
      <c r="G19" s="33"/>
      <c r="H19" s="34"/>
      <c r="I19" s="30"/>
      <c r="J19" s="25">
        <v>389479.81</v>
      </c>
      <c r="K19" s="31" t="s">
        <v>14</v>
      </c>
    </row>
    <row r="20" spans="2:11">
      <c r="B20" s="344" t="s">
        <v>13</v>
      </c>
      <c r="C20" s="345"/>
      <c r="D20" s="346"/>
      <c r="E20" s="20">
        <v>23083423.09</v>
      </c>
      <c r="F20" s="153"/>
      <c r="G20" s="239"/>
      <c r="H20" s="240"/>
      <c r="I20" s="30"/>
      <c r="J20" s="25"/>
      <c r="K20" s="31"/>
    </row>
    <row r="21" spans="2:11">
      <c r="B21" s="187" t="s">
        <v>15</v>
      </c>
      <c r="C21" s="188"/>
      <c r="D21" s="189"/>
      <c r="E21" s="190">
        <f>SUM(E22:E23)</f>
        <v>70546.73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1">
      <c r="B22" s="187"/>
      <c r="C22" s="188"/>
      <c r="D22" s="198" t="s">
        <v>196</v>
      </c>
      <c r="E22" s="190">
        <v>70546.73</v>
      </c>
      <c r="F22" s="153">
        <f>SUM(E24:E30)</f>
        <v>1394721.86</v>
      </c>
      <c r="G22" s="44">
        <v>13815.64</v>
      </c>
      <c r="H22" s="29" t="s">
        <v>10</v>
      </c>
      <c r="I22" s="30"/>
      <c r="J22" s="25">
        <v>0</v>
      </c>
      <c r="K22" s="31" t="s">
        <v>188</v>
      </c>
    </row>
    <row r="23" spans="2:11">
      <c r="B23" s="206"/>
      <c r="C23" s="205"/>
      <c r="D23" s="208"/>
      <c r="E23" s="190">
        <v>0</v>
      </c>
      <c r="F23" s="153">
        <f>+F17-F22</f>
        <v>-533118.04</v>
      </c>
      <c r="G23" s="44">
        <v>11818.67</v>
      </c>
      <c r="H23" s="29" t="s">
        <v>18</v>
      </c>
      <c r="I23" s="30"/>
      <c r="J23" s="25"/>
      <c r="K23" s="31"/>
    </row>
    <row r="24" spans="2:11" ht="15" thickBot="1">
      <c r="B24" s="46" t="s">
        <v>17</v>
      </c>
      <c r="C24" s="47"/>
      <c r="D24" s="48"/>
      <c r="E24" s="234">
        <v>44521.86</v>
      </c>
      <c r="F24" s="153"/>
      <c r="G24" s="51"/>
      <c r="H24" s="34"/>
      <c r="I24" s="30"/>
      <c r="J24" s="210"/>
      <c r="K24" s="53"/>
    </row>
    <row r="25" spans="2:11" ht="15" thickBot="1">
      <c r="B25" s="202" t="s">
        <v>163</v>
      </c>
      <c r="C25" s="203"/>
      <c r="D25" s="204"/>
      <c r="E25" s="49">
        <f>1255000+90000</f>
        <v>1345000</v>
      </c>
      <c r="F25" s="153"/>
      <c r="G25" s="331" t="s">
        <v>21</v>
      </c>
      <c r="H25" s="332"/>
      <c r="I25" s="332"/>
      <c r="J25" s="332"/>
      <c r="K25" s="333"/>
    </row>
    <row r="26" spans="2:11">
      <c r="B26" s="199" t="s">
        <v>22</v>
      </c>
      <c r="C26" s="200"/>
      <c r="D26" s="201"/>
      <c r="E26" s="49">
        <v>5200</v>
      </c>
      <c r="F26" s="221"/>
      <c r="G26" s="54"/>
      <c r="H26" s="55"/>
      <c r="I26" s="56"/>
      <c r="J26" s="211"/>
      <c r="K26" s="58"/>
    </row>
    <row r="27" spans="2:11">
      <c r="B27" s="199" t="s">
        <v>64</v>
      </c>
      <c r="C27" s="200"/>
      <c r="D27" s="201"/>
      <c r="E27" s="49">
        <v>0</v>
      </c>
      <c r="F27" s="220"/>
      <c r="G27" s="377" t="s">
        <v>5</v>
      </c>
      <c r="H27" s="378"/>
      <c r="I27" s="59"/>
      <c r="J27" s="60"/>
      <c r="K27" s="45"/>
    </row>
    <row r="28" spans="2:11">
      <c r="B28" s="199" t="s">
        <v>52</v>
      </c>
      <c r="C28" s="200"/>
      <c r="D28" s="201"/>
      <c r="E28" s="49">
        <v>0</v>
      </c>
      <c r="F28" s="220"/>
      <c r="G28" s="22">
        <f>31825.9-11500-8500</f>
        <v>11825.900000000001</v>
      </c>
      <c r="H28" s="62" t="s">
        <v>9</v>
      </c>
      <c r="I28" s="59"/>
      <c r="J28" s="60"/>
      <c r="K28" s="45"/>
    </row>
    <row r="29" spans="2:11">
      <c r="B29" s="344" t="s">
        <v>25</v>
      </c>
      <c r="C29" s="345"/>
      <c r="D29" s="346"/>
      <c r="E29" s="49">
        <v>0</v>
      </c>
      <c r="F29" s="220"/>
      <c r="G29" s="22">
        <f>254643.84- 154326.09</f>
        <v>100317.75</v>
      </c>
      <c r="H29" s="62" t="s">
        <v>26</v>
      </c>
      <c r="I29" s="63"/>
      <c r="J29" s="64" t="s">
        <v>27</v>
      </c>
      <c r="K29" s="65" t="s">
        <v>28</v>
      </c>
    </row>
    <row r="30" spans="2:11" ht="15" thickBot="1">
      <c r="B30" s="363" t="s">
        <v>29</v>
      </c>
      <c r="C30" s="364"/>
      <c r="D30" s="365"/>
      <c r="E30" s="66">
        <v>0</v>
      </c>
      <c r="F30" s="220"/>
      <c r="G30" s="67">
        <v>121734.16</v>
      </c>
      <c r="H30" s="68" t="s">
        <v>14</v>
      </c>
      <c r="I30" s="63"/>
      <c r="J30" s="64" t="s">
        <v>30</v>
      </c>
      <c r="K30" s="65" t="s">
        <v>31</v>
      </c>
    </row>
    <row r="31" spans="2:11" ht="15" thickBot="1">
      <c r="E31" s="79"/>
      <c r="F31" s="220"/>
      <c r="G31" s="71">
        <f>257306.78-254025.53</f>
        <v>3281.25</v>
      </c>
      <c r="H31" s="72" t="s">
        <v>12</v>
      </c>
      <c r="I31" s="73"/>
      <c r="J31" s="74" t="s">
        <v>32</v>
      </c>
      <c r="K31" s="75" t="s">
        <v>33</v>
      </c>
    </row>
    <row r="37" spans="5:8">
      <c r="E37" s="181" t="s">
        <v>197</v>
      </c>
      <c r="F37" s="222"/>
      <c r="G37" s="8"/>
      <c r="H37" s="13"/>
    </row>
    <row r="38" spans="5:8" s="61" customFormat="1" ht="15" customHeight="1">
      <c r="E38" s="181"/>
      <c r="F38" s="222"/>
      <c r="G38" s="8"/>
      <c r="H38" s="13"/>
    </row>
    <row r="39" spans="5:8" s="61" customFormat="1" ht="15" customHeight="1">
      <c r="E39" s="8" t="s">
        <v>34</v>
      </c>
      <c r="F39" s="222">
        <f>F17</f>
        <v>861603.82000000007</v>
      </c>
      <c r="G39" s="86">
        <v>1659693.86</v>
      </c>
      <c r="H39" s="98"/>
    </row>
    <row r="40" spans="5:8" s="61" customFormat="1" ht="15" customHeight="1">
      <c r="E40" s="8" t="s">
        <v>35</v>
      </c>
      <c r="F40" s="213">
        <f>+E19</f>
        <v>237159.06</v>
      </c>
      <c r="G40" s="86">
        <v>480000</v>
      </c>
      <c r="H40" s="161"/>
    </row>
    <row r="41" spans="5:8" s="61" customFormat="1" ht="15" customHeight="1">
      <c r="E41" s="8" t="s">
        <v>36</v>
      </c>
      <c r="F41" s="222">
        <v>495000</v>
      </c>
      <c r="G41" s="86"/>
      <c r="H41" s="81"/>
    </row>
    <row r="42" spans="5:8" s="61" customFormat="1" ht="15" customHeight="1">
      <c r="E42" s="8" t="s">
        <v>37</v>
      </c>
      <c r="F42" s="222">
        <v>0</v>
      </c>
      <c r="G42" s="86">
        <v>428351.62</v>
      </c>
      <c r="H42" s="8" t="s">
        <v>191</v>
      </c>
    </row>
    <row r="43" spans="5:8" s="61" customFormat="1" ht="15" customHeight="1">
      <c r="E43" s="182" t="s">
        <v>38</v>
      </c>
      <c r="F43" s="223">
        <f>SUM(F39:F42)</f>
        <v>1593762.8800000001</v>
      </c>
      <c r="G43" s="9"/>
      <c r="H43" s="8"/>
    </row>
    <row r="44" spans="5:8" s="61" customFormat="1" ht="15" customHeight="1">
      <c r="E44" s="183"/>
      <c r="F44" s="224"/>
      <c r="G44" s="9"/>
    </row>
    <row r="45" spans="5:8" s="61" customFormat="1" ht="15" customHeight="1">
      <c r="E45" s="183" t="s">
        <v>152</v>
      </c>
      <c r="F45" s="224">
        <v>0</v>
      </c>
      <c r="G45" s="9"/>
    </row>
    <row r="46" spans="5:8" s="61" customFormat="1" ht="15" customHeight="1">
      <c r="E46" s="183" t="s">
        <v>180</v>
      </c>
      <c r="F46" s="224">
        <v>0</v>
      </c>
      <c r="G46" s="9"/>
    </row>
    <row r="47" spans="5:8" s="61" customFormat="1" ht="15" customHeight="1">
      <c r="E47" s="183" t="s">
        <v>189</v>
      </c>
      <c r="F47" s="224">
        <v>1300000</v>
      </c>
      <c r="G47" s="9"/>
    </row>
    <row r="48" spans="5:8" s="61" customFormat="1" ht="15" customHeight="1">
      <c r="E48" s="183" t="s">
        <v>78</v>
      </c>
      <c r="F48" s="224">
        <v>90000</v>
      </c>
      <c r="G48" s="9"/>
    </row>
    <row r="49" spans="4:7" s="61" customFormat="1" ht="15" customHeight="1">
      <c r="D49" s="82"/>
      <c r="E49" s="183" t="s">
        <v>64</v>
      </c>
      <c r="F49" s="224">
        <v>0</v>
      </c>
      <c r="G49" s="9"/>
    </row>
    <row r="50" spans="4:7" s="61" customFormat="1">
      <c r="D50" s="82"/>
      <c r="E50" s="116" t="s">
        <v>24</v>
      </c>
      <c r="F50" s="220">
        <v>0</v>
      </c>
      <c r="G50" s="8"/>
    </row>
    <row r="51" spans="4:7" s="61" customFormat="1">
      <c r="D51" s="8"/>
      <c r="E51" s="116" t="s">
        <v>22</v>
      </c>
      <c r="F51" s="220">
        <v>0</v>
      </c>
      <c r="G51" s="8"/>
    </row>
    <row r="52" spans="4:7" s="61" customFormat="1">
      <c r="D52" s="8"/>
      <c r="E52" s="116" t="s">
        <v>40</v>
      </c>
      <c r="F52" s="220">
        <v>0</v>
      </c>
      <c r="G52" s="8"/>
    </row>
    <row r="53" spans="4:7" s="61" customFormat="1">
      <c r="D53" s="8"/>
      <c r="E53" s="118" t="s">
        <v>41</v>
      </c>
      <c r="F53" s="225">
        <f>SUM(F45:F52)</f>
        <v>1390000</v>
      </c>
      <c r="G53" s="8"/>
    </row>
    <row r="54" spans="4:7" s="61" customFormat="1">
      <c r="D54" s="8"/>
      <c r="E54" s="118" t="s">
        <v>42</v>
      </c>
      <c r="F54" s="225">
        <f>F43-F53</f>
        <v>203762.88000000012</v>
      </c>
      <c r="G54" s="8"/>
    </row>
    <row r="55" spans="4:7" s="61" customFormat="1">
      <c r="D55" s="8"/>
      <c r="E55" s="82"/>
      <c r="F55" s="221"/>
      <c r="G55" s="8"/>
    </row>
    <row r="56" spans="4:7" s="61" customFormat="1">
      <c r="D56" s="8"/>
      <c r="E56" s="82" t="s">
        <v>43</v>
      </c>
      <c r="F56" s="221">
        <f>43800+180000</f>
        <v>223800</v>
      </c>
      <c r="G56" s="8"/>
    </row>
    <row r="57" spans="4:7" s="61" customFormat="1">
      <c r="D57" s="8"/>
      <c r="E57" s="82" t="s">
        <v>44</v>
      </c>
      <c r="F57" s="221">
        <f>100000+350000-20000-40000+165000+10000-200000</f>
        <v>365000</v>
      </c>
      <c r="G57" s="82"/>
    </row>
    <row r="58" spans="4:7" s="61" customFormat="1">
      <c r="D58" s="8"/>
      <c r="E58" s="82" t="s">
        <v>91</v>
      </c>
      <c r="F58" s="226">
        <v>0</v>
      </c>
      <c r="G58" s="82"/>
    </row>
    <row r="59" spans="4:7" s="61" customFormat="1">
      <c r="D59" s="8"/>
      <c r="E59" s="118" t="s">
        <v>46</v>
      </c>
      <c r="F59" s="227">
        <f>SUM(F56:F58)</f>
        <v>588800</v>
      </c>
      <c r="G59" s="82"/>
    </row>
    <row r="60" spans="4:7" s="61" customFormat="1">
      <c r="D60" s="8"/>
      <c r="E60" s="82"/>
      <c r="F60" s="221"/>
      <c r="G60" s="82"/>
    </row>
    <row r="61" spans="4:7">
      <c r="D61" s="8"/>
      <c r="E61" s="118" t="s">
        <v>47</v>
      </c>
      <c r="F61" s="227">
        <f>F54-F59</f>
        <v>-385037.11999999988</v>
      </c>
      <c r="G61" s="82"/>
    </row>
    <row r="62" spans="4:7">
      <c r="D62" s="8"/>
      <c r="E62" s="8"/>
      <c r="F62" s="220"/>
      <c r="G62" s="8"/>
    </row>
    <row r="63" spans="4:7">
      <c r="D63" s="8"/>
      <c r="E63" s="8"/>
      <c r="F63" s="220"/>
      <c r="G63" s="8"/>
    </row>
    <row r="64" spans="4:7">
      <c r="D64" s="383" t="s">
        <v>192</v>
      </c>
      <c r="E64" s="383"/>
      <c r="F64" s="383"/>
      <c r="G64" s="8"/>
    </row>
    <row r="65" spans="4:7">
      <c r="D65" s="247" t="s">
        <v>194</v>
      </c>
      <c r="E65" s="247" t="s">
        <v>193</v>
      </c>
      <c r="F65" s="248" t="s">
        <v>24</v>
      </c>
      <c r="G65" s="8"/>
    </row>
    <row r="66" spans="4:7">
      <c r="D66" s="8" t="s">
        <v>9</v>
      </c>
      <c r="E66" s="249">
        <v>0</v>
      </c>
      <c r="F66" s="250">
        <v>20000</v>
      </c>
      <c r="G66" s="8"/>
    </row>
    <row r="67" spans="4:7">
      <c r="D67" s="8" t="s">
        <v>195</v>
      </c>
      <c r="E67" s="249">
        <v>125838.99076255714</v>
      </c>
      <c r="F67" s="250">
        <v>28487.100420091323</v>
      </c>
      <c r="G67" s="8"/>
    </row>
    <row r="68" spans="4:7">
      <c r="D68" s="8" t="s">
        <v>188</v>
      </c>
      <c r="E68" s="249">
        <v>254025.53</v>
      </c>
      <c r="F68" s="250"/>
      <c r="G68" s="8"/>
    </row>
    <row r="69" spans="4:7">
      <c r="D69" s="8"/>
      <c r="E69" s="124">
        <f>SUM(E66:E68)</f>
        <v>379864.52076255716</v>
      </c>
      <c r="F69" s="250">
        <f>SUM(F66:F68)</f>
        <v>48487.100420091323</v>
      </c>
      <c r="G69" s="124">
        <f>SUM(E69:F69)</f>
        <v>428351.62118264847</v>
      </c>
    </row>
  </sheetData>
  <mergeCells count="17">
    <mergeCell ref="G27:H27"/>
    <mergeCell ref="B29:D29"/>
    <mergeCell ref="B30:D30"/>
    <mergeCell ref="D64:F64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EE622-E694-44BE-B005-D1E5FB4C3D38}">
  <dimension ref="A6:K68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</cols>
  <sheetData>
    <row r="6" spans="1:11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1">
      <c r="A7" s="1"/>
      <c r="B7" s="1"/>
      <c r="C7" s="1"/>
      <c r="D7" s="1"/>
      <c r="E7" s="1"/>
      <c r="F7" s="215"/>
      <c r="G7" s="1"/>
      <c r="H7" s="1"/>
      <c r="I7" s="1"/>
      <c r="J7" s="76"/>
      <c r="K7" s="1"/>
    </row>
    <row r="8" spans="1:11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1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1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1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1" ht="18" thickBot="1">
      <c r="A12" s="11"/>
      <c r="B12" s="331" t="s">
        <v>2</v>
      </c>
      <c r="C12" s="332"/>
      <c r="D12" s="332"/>
      <c r="E12" s="333"/>
      <c r="F12" s="217"/>
      <c r="G12" s="1"/>
      <c r="H12" s="1"/>
      <c r="I12" s="1"/>
      <c r="J12" s="76"/>
      <c r="K12" s="1"/>
    </row>
    <row r="13" spans="1:11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</row>
    <row r="14" spans="1:11" ht="15" thickBot="1">
      <c r="A14" s="1"/>
      <c r="B14" s="334" t="s">
        <v>3</v>
      </c>
      <c r="C14" s="335"/>
      <c r="D14" s="336"/>
      <c r="E14" s="17">
        <f>SUM(E15:E17)</f>
        <v>138295.11000000002</v>
      </c>
      <c r="F14" s="150"/>
      <c r="G14" s="331" t="s">
        <v>4</v>
      </c>
      <c r="H14" s="332"/>
      <c r="I14" s="332"/>
      <c r="J14" s="332"/>
      <c r="K14" s="333"/>
    </row>
    <row r="15" spans="1:11">
      <c r="A15" s="1"/>
      <c r="B15" s="337" t="s">
        <v>5</v>
      </c>
      <c r="C15" s="338"/>
      <c r="D15" s="339"/>
      <c r="E15" s="20">
        <f>J16+J17+J18+J19</f>
        <v>73852.010000000009</v>
      </c>
      <c r="F15" s="153">
        <f>E15+E16+E17</f>
        <v>138295.11000000002</v>
      </c>
      <c r="G15" s="340" t="s">
        <v>6</v>
      </c>
      <c r="H15" s="341"/>
      <c r="I15" s="21"/>
      <c r="J15" s="342" t="s">
        <v>5</v>
      </c>
      <c r="K15" s="343"/>
    </row>
    <row r="16" spans="1:11">
      <c r="A16" s="1"/>
      <c r="B16" s="349" t="s">
        <v>7</v>
      </c>
      <c r="C16" s="350"/>
      <c r="D16" s="351"/>
      <c r="E16" s="20">
        <f>G22+G23</f>
        <v>25453.510000000002</v>
      </c>
      <c r="F16" s="153">
        <v>90000</v>
      </c>
      <c r="G16" s="22">
        <v>10049.19</v>
      </c>
      <c r="H16" s="23" t="s">
        <v>8</v>
      </c>
      <c r="I16" s="24"/>
      <c r="J16" s="25">
        <v>10072.290000000001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38989.590000000004</v>
      </c>
      <c r="F17" s="153">
        <f>F15-F16</f>
        <v>48295.110000000015</v>
      </c>
      <c r="G17" s="22">
        <v>15501.79</v>
      </c>
      <c r="H17" s="29" t="s">
        <v>10</v>
      </c>
      <c r="I17" s="30"/>
      <c r="J17" s="25">
        <v>10102.64</v>
      </c>
      <c r="K17" s="31" t="s">
        <v>10</v>
      </c>
    </row>
    <row r="18" spans="2:11">
      <c r="B18" s="236" t="s">
        <v>187</v>
      </c>
      <c r="C18" s="237"/>
      <c r="D18" s="238"/>
      <c r="E18" s="28">
        <f>+J22</f>
        <v>0</v>
      </c>
      <c r="F18" s="153"/>
      <c r="G18" s="22">
        <v>13438.61</v>
      </c>
      <c r="H18" s="29" t="s">
        <v>12</v>
      </c>
      <c r="I18" s="30"/>
      <c r="J18" s="25">
        <v>41729.79</v>
      </c>
      <c r="K18" s="31" t="s">
        <v>12</v>
      </c>
    </row>
    <row r="19" spans="2:11">
      <c r="B19" s="379" t="s">
        <v>11</v>
      </c>
      <c r="C19" s="380"/>
      <c r="D19" s="381"/>
      <c r="E19" s="20">
        <f>G29+G31+G30+G28</f>
        <v>17448.819999999989</v>
      </c>
      <c r="F19" s="153"/>
      <c r="G19" s="33"/>
      <c r="H19" s="34"/>
      <c r="I19" s="30"/>
      <c r="J19" s="25">
        <v>11947.29</v>
      </c>
      <c r="K19" s="31" t="s">
        <v>14</v>
      </c>
    </row>
    <row r="20" spans="2:11">
      <c r="B20" s="344" t="s">
        <v>13</v>
      </c>
      <c r="C20" s="345"/>
      <c r="D20" s="346"/>
      <c r="E20" s="20">
        <v>23055177.09</v>
      </c>
      <c r="F20" s="153"/>
      <c r="G20" s="239"/>
      <c r="H20" s="240"/>
      <c r="I20" s="30"/>
      <c r="J20" s="25"/>
      <c r="K20" s="31"/>
    </row>
    <row r="21" spans="2:11">
      <c r="B21" s="187" t="s">
        <v>15</v>
      </c>
      <c r="C21" s="188"/>
      <c r="D21" s="189"/>
      <c r="E21" s="190">
        <f>SUM(E22:E23)</f>
        <v>28246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1">
      <c r="B22" s="187"/>
      <c r="C22" s="188"/>
      <c r="D22" s="198" t="s">
        <v>92</v>
      </c>
      <c r="E22" s="190">
        <v>28246</v>
      </c>
      <c r="F22" s="153">
        <f>SUM(E24:E30)</f>
        <v>231014</v>
      </c>
      <c r="G22" s="44">
        <v>13634.84</v>
      </c>
      <c r="H22" s="29" t="s">
        <v>10</v>
      </c>
      <c r="I22" s="30"/>
      <c r="J22" s="25">
        <v>0</v>
      </c>
      <c r="K22" s="31" t="s">
        <v>188</v>
      </c>
    </row>
    <row r="23" spans="2:11">
      <c r="B23" s="206"/>
      <c r="C23" s="205"/>
      <c r="D23" s="208"/>
      <c r="E23" s="190">
        <v>0</v>
      </c>
      <c r="F23" s="153">
        <f>+F17-F22</f>
        <v>-182718.88999999998</v>
      </c>
      <c r="G23" s="44">
        <v>11818.67</v>
      </c>
      <c r="H23" s="29" t="s">
        <v>18</v>
      </c>
      <c r="I23" s="30"/>
      <c r="J23" s="25"/>
      <c r="K23" s="31"/>
    </row>
    <row r="24" spans="2:11" ht="15" thickBot="1">
      <c r="B24" s="46" t="s">
        <v>17</v>
      </c>
      <c r="C24" s="47"/>
      <c r="D24" s="48"/>
      <c r="E24" s="234">
        <v>0</v>
      </c>
      <c r="F24" s="153"/>
      <c r="G24" s="51"/>
      <c r="H24" s="34"/>
      <c r="I24" s="30"/>
      <c r="J24" s="210"/>
      <c r="K24" s="53"/>
    </row>
    <row r="25" spans="2:11" ht="15" thickBot="1">
      <c r="B25" s="202" t="s">
        <v>163</v>
      </c>
      <c r="C25" s="203"/>
      <c r="D25" s="204"/>
      <c r="E25" s="49">
        <v>0</v>
      </c>
      <c r="F25" s="153"/>
      <c r="G25" s="331" t="s">
        <v>21</v>
      </c>
      <c r="H25" s="332"/>
      <c r="I25" s="332"/>
      <c r="J25" s="332"/>
      <c r="K25" s="333"/>
    </row>
    <row r="26" spans="2:11">
      <c r="B26" s="199" t="s">
        <v>22</v>
      </c>
      <c r="C26" s="200"/>
      <c r="D26" s="201"/>
      <c r="E26" s="49">
        <v>91014</v>
      </c>
      <c r="F26" s="221"/>
      <c r="G26" s="54"/>
      <c r="H26" s="55"/>
      <c r="I26" s="56"/>
      <c r="J26" s="211"/>
      <c r="K26" s="58"/>
    </row>
    <row r="27" spans="2:11">
      <c r="B27" s="199" t="s">
        <v>64</v>
      </c>
      <c r="C27" s="200"/>
      <c r="D27" s="201"/>
      <c r="E27" s="49">
        <v>0</v>
      </c>
      <c r="F27" s="220"/>
      <c r="G27" s="377" t="s">
        <v>5</v>
      </c>
      <c r="H27" s="378"/>
      <c r="I27" s="59"/>
      <c r="J27" s="60"/>
      <c r="K27" s="45"/>
    </row>
    <row r="28" spans="2:11">
      <c r="B28" s="199" t="s">
        <v>24</v>
      </c>
      <c r="C28" s="200"/>
      <c r="D28" s="201"/>
      <c r="E28" s="49">
        <f>15000+65000</f>
        <v>80000</v>
      </c>
      <c r="F28" s="220"/>
      <c r="G28" s="22">
        <f>31829.52-11500-8500</f>
        <v>11829.52</v>
      </c>
      <c r="H28" s="62" t="s">
        <v>9</v>
      </c>
      <c r="I28" s="59"/>
      <c r="J28" s="60"/>
      <c r="K28" s="45"/>
    </row>
    <row r="29" spans="2:11">
      <c r="B29" s="344" t="s">
        <v>25</v>
      </c>
      <c r="C29" s="345"/>
      <c r="D29" s="346"/>
      <c r="E29" s="49">
        <v>60000</v>
      </c>
      <c r="F29" s="220"/>
      <c r="G29" s="22">
        <f>154658.15- 154326.09</f>
        <v>332.05999999999767</v>
      </c>
      <c r="H29" s="62" t="s">
        <v>26</v>
      </c>
      <c r="I29" s="63"/>
      <c r="J29" s="64" t="s">
        <v>27</v>
      </c>
      <c r="K29" s="65" t="s">
        <v>28</v>
      </c>
    </row>
    <row r="30" spans="2:11" ht="15" thickBot="1">
      <c r="B30" s="363" t="s">
        <v>29</v>
      </c>
      <c r="C30" s="364"/>
      <c r="D30" s="365"/>
      <c r="E30" s="66">
        <v>0</v>
      </c>
      <c r="F30" s="220"/>
      <c r="G30" s="67">
        <v>1734.5</v>
      </c>
      <c r="H30" s="68" t="s">
        <v>14</v>
      </c>
      <c r="I30" s="63"/>
      <c r="J30" s="64" t="s">
        <v>30</v>
      </c>
      <c r="K30" s="65" t="s">
        <v>31</v>
      </c>
    </row>
    <row r="31" spans="2:11" ht="15" thickBot="1">
      <c r="E31" s="79"/>
      <c r="F31" s="220"/>
      <c r="G31" s="71">
        <f>257578.27-254025.53</f>
        <v>3552.7399999999907</v>
      </c>
      <c r="H31" s="72" t="s">
        <v>12</v>
      </c>
      <c r="I31" s="73"/>
      <c r="J31" s="74" t="s">
        <v>32</v>
      </c>
      <c r="K31" s="75" t="s">
        <v>33</v>
      </c>
    </row>
    <row r="37" spans="5:8">
      <c r="E37" s="181" t="s">
        <v>197</v>
      </c>
      <c r="F37" s="222"/>
      <c r="G37" s="8"/>
      <c r="H37" s="13"/>
    </row>
    <row r="38" spans="5:8" s="61" customFormat="1" ht="15" customHeight="1">
      <c r="E38" s="181"/>
      <c r="F38" s="222"/>
      <c r="G38" s="8"/>
      <c r="H38" s="13"/>
    </row>
    <row r="39" spans="5:8" s="61" customFormat="1" ht="15" customHeight="1">
      <c r="E39" s="8" t="s">
        <v>34</v>
      </c>
      <c r="F39" s="222">
        <f>F17</f>
        <v>48295.110000000015</v>
      </c>
      <c r="G39" s="86">
        <v>1659693.86</v>
      </c>
      <c r="H39" s="98"/>
    </row>
    <row r="40" spans="5:8" s="61" customFormat="1" ht="15" customHeight="1">
      <c r="E40" s="8" t="s">
        <v>35</v>
      </c>
      <c r="F40" s="213">
        <f>+E19</f>
        <v>17448.819999999989</v>
      </c>
      <c r="G40" s="86">
        <v>480000</v>
      </c>
      <c r="H40" s="161"/>
    </row>
    <row r="41" spans="5:8" s="61" customFormat="1" ht="15" customHeight="1">
      <c r="E41" s="8" t="s">
        <v>36</v>
      </c>
      <c r="F41" s="222">
        <f>495000-325000</f>
        <v>170000</v>
      </c>
      <c r="G41" s="86"/>
      <c r="H41" s="81"/>
    </row>
    <row r="42" spans="5:8" s="61" customFormat="1" ht="15" customHeight="1">
      <c r="E42" s="8" t="s">
        <v>37</v>
      </c>
      <c r="F42" s="222">
        <v>0</v>
      </c>
      <c r="G42" s="86">
        <v>428351.62</v>
      </c>
      <c r="H42" s="8" t="s">
        <v>191</v>
      </c>
    </row>
    <row r="43" spans="5:8" s="61" customFormat="1" ht="15" customHeight="1">
      <c r="E43" s="182" t="s">
        <v>38</v>
      </c>
      <c r="F43" s="223">
        <f>SUM(F39:F42)</f>
        <v>235743.93</v>
      </c>
      <c r="G43" s="9"/>
      <c r="H43" s="8"/>
    </row>
    <row r="44" spans="5:8" s="61" customFormat="1" ht="15" customHeight="1">
      <c r="E44" s="183"/>
      <c r="F44" s="224"/>
      <c r="G44" s="9"/>
    </row>
    <row r="45" spans="5:8" s="61" customFormat="1" ht="15" customHeight="1">
      <c r="E45" s="183" t="s">
        <v>152</v>
      </c>
      <c r="F45" s="224">
        <v>135000</v>
      </c>
      <c r="G45" s="9"/>
    </row>
    <row r="46" spans="5:8" s="61" customFormat="1" ht="15" customHeight="1">
      <c r="E46" s="183" t="s">
        <v>69</v>
      </c>
      <c r="F46" s="224">
        <v>60000</v>
      </c>
      <c r="G46" s="9"/>
    </row>
    <row r="47" spans="5:8" s="61" customFormat="1" ht="15" customHeight="1">
      <c r="E47" s="183" t="s">
        <v>80</v>
      </c>
      <c r="F47" s="224">
        <v>408254.19</v>
      </c>
      <c r="G47" s="9"/>
    </row>
    <row r="48" spans="5:8" s="61" customFormat="1">
      <c r="E48" s="116" t="s">
        <v>24</v>
      </c>
      <c r="F48" s="220">
        <v>80000</v>
      </c>
      <c r="G48" s="8"/>
    </row>
    <row r="49" spans="4:7" s="61" customFormat="1">
      <c r="D49" s="82"/>
      <c r="E49" s="116" t="s">
        <v>198</v>
      </c>
      <c r="F49" s="220">
        <v>20000</v>
      </c>
      <c r="G49" s="8"/>
    </row>
    <row r="50" spans="4:7" s="61" customFormat="1">
      <c r="D50" s="8"/>
      <c r="E50" s="116" t="s">
        <v>22</v>
      </c>
      <c r="F50" s="220">
        <v>150000</v>
      </c>
      <c r="G50" s="8"/>
    </row>
    <row r="51" spans="4:7" s="61" customFormat="1">
      <c r="D51" s="8"/>
      <c r="E51" s="116" t="s">
        <v>40</v>
      </c>
      <c r="F51" s="220">
        <v>170000</v>
      </c>
      <c r="G51" s="8"/>
    </row>
    <row r="52" spans="4:7" s="61" customFormat="1">
      <c r="D52" s="8"/>
      <c r="E52" s="118" t="s">
        <v>41</v>
      </c>
      <c r="F52" s="225">
        <f>SUM(F45:F51)</f>
        <v>1023254.19</v>
      </c>
      <c r="G52" s="8"/>
    </row>
    <row r="53" spans="4:7" s="61" customFormat="1">
      <c r="D53" s="8"/>
      <c r="E53" s="118" t="s">
        <v>42</v>
      </c>
      <c r="F53" s="225">
        <f>F43-F52</f>
        <v>-787510.26</v>
      </c>
      <c r="G53" s="8"/>
    </row>
    <row r="54" spans="4:7" s="61" customFormat="1">
      <c r="D54" s="8"/>
      <c r="E54" s="82"/>
      <c r="F54" s="221"/>
      <c r="G54" s="8"/>
    </row>
    <row r="55" spans="4:7" s="61" customFormat="1">
      <c r="D55" s="8"/>
      <c r="E55" s="82" t="s">
        <v>43</v>
      </c>
      <c r="F55" s="221">
        <f>43800+180000</f>
        <v>223800</v>
      </c>
      <c r="G55" s="8"/>
    </row>
    <row r="56" spans="4:7" s="61" customFormat="1">
      <c r="D56" s="8"/>
      <c r="E56" s="82" t="s">
        <v>44</v>
      </c>
      <c r="F56" s="221">
        <f>100000+350000-20000-40000+165000+10000-200000</f>
        <v>365000</v>
      </c>
      <c r="G56" s="82"/>
    </row>
    <row r="57" spans="4:7" s="61" customFormat="1">
      <c r="D57" s="8"/>
      <c r="E57" s="82" t="s">
        <v>91</v>
      </c>
      <c r="F57" s="226">
        <v>325204.39</v>
      </c>
      <c r="G57" s="82"/>
    </row>
    <row r="58" spans="4:7" s="61" customFormat="1">
      <c r="D58" s="8"/>
      <c r="E58" s="118" t="s">
        <v>46</v>
      </c>
      <c r="F58" s="227">
        <f>SUM(F55:F57)</f>
        <v>914004.39</v>
      </c>
      <c r="G58" s="82"/>
    </row>
    <row r="59" spans="4:7" s="61" customFormat="1">
      <c r="D59" s="8"/>
      <c r="E59" s="82"/>
      <c r="F59" s="221"/>
      <c r="G59" s="82"/>
    </row>
    <row r="60" spans="4:7">
      <c r="D60" s="8"/>
      <c r="E60" s="118" t="s">
        <v>47</v>
      </c>
      <c r="F60" s="227">
        <f>F53-F58</f>
        <v>-1701514.65</v>
      </c>
      <c r="G60" s="82"/>
    </row>
    <row r="61" spans="4:7">
      <c r="D61" s="8"/>
      <c r="E61" s="8"/>
      <c r="F61" s="220"/>
      <c r="G61" s="8"/>
    </row>
    <row r="62" spans="4:7">
      <c r="D62" s="8"/>
      <c r="E62" s="8"/>
      <c r="F62" s="220"/>
      <c r="G62" s="8"/>
    </row>
    <row r="63" spans="4:7">
      <c r="D63" s="383" t="s">
        <v>192</v>
      </c>
      <c r="E63" s="383"/>
      <c r="F63" s="383"/>
      <c r="G63" s="8"/>
    </row>
    <row r="64" spans="4:7">
      <c r="D64" s="247" t="s">
        <v>194</v>
      </c>
      <c r="E64" s="247" t="s">
        <v>193</v>
      </c>
      <c r="F64" s="248" t="s">
        <v>24</v>
      </c>
      <c r="G64" s="8"/>
    </row>
    <row r="65" spans="4:7">
      <c r="D65" s="8" t="s">
        <v>9</v>
      </c>
      <c r="E65" s="249">
        <v>0</v>
      </c>
      <c r="F65" s="250">
        <v>20000</v>
      </c>
      <c r="G65" s="8"/>
    </row>
    <row r="66" spans="4:7">
      <c r="D66" s="8" t="s">
        <v>195</v>
      </c>
      <c r="E66" s="249">
        <v>125838.99076255714</v>
      </c>
      <c r="F66" s="250">
        <v>28487.100420091323</v>
      </c>
      <c r="G66" s="8"/>
    </row>
    <row r="67" spans="4:7">
      <c r="D67" s="8" t="s">
        <v>188</v>
      </c>
      <c r="E67" s="249">
        <v>254025.53</v>
      </c>
      <c r="F67" s="250"/>
      <c r="G67" s="8"/>
    </row>
    <row r="68" spans="4:7">
      <c r="D68" s="8"/>
      <c r="E68" s="124">
        <f>SUM(E65:E67)</f>
        <v>379864.52076255716</v>
      </c>
      <c r="F68" s="250">
        <f>SUM(F65:F67)</f>
        <v>48487.100420091323</v>
      </c>
      <c r="G68" s="124">
        <f>SUM(E68:F68)</f>
        <v>428351.62118264847</v>
      </c>
    </row>
  </sheetData>
  <mergeCells count="17">
    <mergeCell ref="E10:F10"/>
    <mergeCell ref="B12:E12"/>
    <mergeCell ref="B14:D14"/>
    <mergeCell ref="G14:K14"/>
    <mergeCell ref="B15:D15"/>
    <mergeCell ref="G15:H15"/>
    <mergeCell ref="J15:K15"/>
    <mergeCell ref="G27:H27"/>
    <mergeCell ref="B29:D29"/>
    <mergeCell ref="B30:D30"/>
    <mergeCell ref="D63:F63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A1152-C15A-414B-987D-7F123016726F}">
  <dimension ref="A6:M69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</cols>
  <sheetData>
    <row r="6" spans="1:11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1">
      <c r="A7" s="1"/>
      <c r="B7" s="1"/>
      <c r="C7" s="1"/>
      <c r="D7" s="1"/>
      <c r="E7" s="1"/>
      <c r="F7" s="215"/>
      <c r="G7" s="1"/>
      <c r="H7" s="1"/>
      <c r="I7" s="1"/>
      <c r="J7" s="76"/>
      <c r="K7" s="1"/>
    </row>
    <row r="8" spans="1:11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1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1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1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1" ht="18" thickBot="1">
      <c r="A12" s="11"/>
      <c r="B12" s="331" t="s">
        <v>2</v>
      </c>
      <c r="C12" s="332"/>
      <c r="D12" s="332"/>
      <c r="E12" s="333"/>
      <c r="F12" s="217"/>
      <c r="G12" s="1"/>
      <c r="H12" s="1"/>
      <c r="I12" s="1"/>
      <c r="J12" s="76"/>
      <c r="K12" s="1"/>
    </row>
    <row r="13" spans="1:11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</row>
    <row r="14" spans="1:11" ht="15" thickBot="1">
      <c r="A14" s="1"/>
      <c r="B14" s="334" t="s">
        <v>3</v>
      </c>
      <c r="C14" s="335"/>
      <c r="D14" s="336"/>
      <c r="E14" s="17">
        <f>SUM(E15:E17)</f>
        <v>164333.12</v>
      </c>
      <c r="F14" s="150"/>
      <c r="G14" s="331" t="s">
        <v>4</v>
      </c>
      <c r="H14" s="332"/>
      <c r="I14" s="332"/>
      <c r="J14" s="332"/>
      <c r="K14" s="333"/>
    </row>
    <row r="15" spans="1:11">
      <c r="A15" s="1"/>
      <c r="B15" s="337" t="s">
        <v>5</v>
      </c>
      <c r="C15" s="338"/>
      <c r="D15" s="339"/>
      <c r="E15" s="20">
        <f>J16+J17+J18+J19</f>
        <v>98349.01999999999</v>
      </c>
      <c r="F15" s="153">
        <f>E15+E16+E17</f>
        <v>164333.12</v>
      </c>
      <c r="G15" s="340" t="s">
        <v>6</v>
      </c>
      <c r="H15" s="341"/>
      <c r="I15" s="21"/>
      <c r="J15" s="342" t="s">
        <v>5</v>
      </c>
      <c r="K15" s="343"/>
    </row>
    <row r="16" spans="1:11">
      <c r="A16" s="1"/>
      <c r="B16" s="349" t="s">
        <v>7</v>
      </c>
      <c r="C16" s="350"/>
      <c r="D16" s="351"/>
      <c r="E16" s="20">
        <f>G22+G23</f>
        <v>26994.510000000002</v>
      </c>
      <c r="F16" s="153">
        <v>90000</v>
      </c>
      <c r="G16" s="22">
        <v>10049.19</v>
      </c>
      <c r="H16" s="23" t="s">
        <v>8</v>
      </c>
      <c r="I16" s="24"/>
      <c r="J16" s="25">
        <v>24564.7</v>
      </c>
      <c r="K16" s="26" t="s">
        <v>9</v>
      </c>
    </row>
    <row r="17" spans="2:11">
      <c r="B17" s="352" t="s">
        <v>6</v>
      </c>
      <c r="C17" s="353"/>
      <c r="D17" s="354"/>
      <c r="E17" s="28">
        <f>G16+G17+G18</f>
        <v>38989.590000000004</v>
      </c>
      <c r="F17" s="153">
        <f>F15-F16</f>
        <v>74333.119999999995</v>
      </c>
      <c r="G17" s="22">
        <v>15501.79</v>
      </c>
      <c r="H17" s="29" t="s">
        <v>10</v>
      </c>
      <c r="I17" s="30"/>
      <c r="J17" s="25">
        <v>10894.55</v>
      </c>
      <c r="K17" s="31" t="s">
        <v>10</v>
      </c>
    </row>
    <row r="18" spans="2:11">
      <c r="B18" s="236" t="s">
        <v>187</v>
      </c>
      <c r="C18" s="237"/>
      <c r="D18" s="238"/>
      <c r="E18" s="28">
        <f>+J22</f>
        <v>0</v>
      </c>
      <c r="F18" s="153"/>
      <c r="G18" s="22">
        <v>13438.61</v>
      </c>
      <c r="H18" s="29" t="s">
        <v>12</v>
      </c>
      <c r="I18" s="30"/>
      <c r="J18" s="25">
        <v>22368.76</v>
      </c>
      <c r="K18" s="31" t="s">
        <v>12</v>
      </c>
    </row>
    <row r="19" spans="2:11">
      <c r="B19" s="379" t="s">
        <v>11</v>
      </c>
      <c r="C19" s="380"/>
      <c r="D19" s="381"/>
      <c r="E19" s="20">
        <f>G29+G31+G30+G28</f>
        <v>7467.5300000000079</v>
      </c>
      <c r="F19" s="153"/>
      <c r="G19" s="33"/>
      <c r="H19" s="34"/>
      <c r="I19" s="30"/>
      <c r="J19" s="25">
        <v>40521.01</v>
      </c>
      <c r="K19" s="31" t="s">
        <v>14</v>
      </c>
    </row>
    <row r="20" spans="2:11">
      <c r="B20" s="344" t="s">
        <v>13</v>
      </c>
      <c r="C20" s="345"/>
      <c r="D20" s="346"/>
      <c r="E20" s="20">
        <v>23209971.489999998</v>
      </c>
      <c r="F20" s="153"/>
      <c r="G20" s="239"/>
      <c r="H20" s="240"/>
      <c r="I20" s="30"/>
      <c r="J20" s="25"/>
      <c r="K20" s="31"/>
    </row>
    <row r="21" spans="2:11">
      <c r="B21" s="187" t="s">
        <v>15</v>
      </c>
      <c r="C21" s="188"/>
      <c r="D21" s="189"/>
      <c r="E21" s="190">
        <f>SUM(E22:E25)</f>
        <v>107268.94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1">
      <c r="B22" s="187"/>
      <c r="C22" s="188"/>
      <c r="D22" s="198" t="s">
        <v>118</v>
      </c>
      <c r="E22" s="190">
        <v>36019.08</v>
      </c>
      <c r="F22" s="153">
        <f>SUM(E26:E32)</f>
        <v>55726.7</v>
      </c>
      <c r="G22" s="44">
        <v>13634.84</v>
      </c>
      <c r="H22" s="29" t="s">
        <v>10</v>
      </c>
      <c r="I22" s="30"/>
      <c r="J22" s="25">
        <v>0</v>
      </c>
      <c r="K22" s="31" t="s">
        <v>188</v>
      </c>
    </row>
    <row r="23" spans="2:11">
      <c r="B23" s="187"/>
      <c r="C23" s="188"/>
      <c r="D23" s="198" t="s">
        <v>118</v>
      </c>
      <c r="E23" s="190">
        <v>42358.239999999998</v>
      </c>
      <c r="F23" s="153"/>
      <c r="G23" s="44">
        <v>13359.67</v>
      </c>
      <c r="H23" s="29" t="s">
        <v>18</v>
      </c>
      <c r="I23" s="30"/>
      <c r="J23" s="25"/>
      <c r="K23" s="31"/>
    </row>
    <row r="24" spans="2:11" ht="15" thickBot="1">
      <c r="B24" s="187"/>
      <c r="C24" s="188"/>
      <c r="D24" s="198" t="s">
        <v>118</v>
      </c>
      <c r="E24" s="190">
        <v>28891.62</v>
      </c>
      <c r="F24" s="153"/>
      <c r="G24" s="51"/>
      <c r="H24" s="34"/>
      <c r="I24" s="30"/>
      <c r="J24" s="210"/>
      <c r="K24" s="53"/>
    </row>
    <row r="25" spans="2:11" ht="15" thickBot="1">
      <c r="B25" s="206"/>
      <c r="C25" s="205"/>
      <c r="D25" s="208"/>
      <c r="E25" s="190">
        <v>0</v>
      </c>
      <c r="F25" s="153">
        <f>+F17-F22</f>
        <v>18606.419999999998</v>
      </c>
      <c r="G25" s="331" t="s">
        <v>21</v>
      </c>
      <c r="H25" s="332"/>
      <c r="I25" s="332"/>
      <c r="J25" s="332"/>
      <c r="K25" s="333"/>
    </row>
    <row r="26" spans="2:11">
      <c r="B26" s="46" t="s">
        <v>17</v>
      </c>
      <c r="C26" s="47"/>
      <c r="D26" s="48"/>
      <c r="E26" s="234">
        <v>53793.59</v>
      </c>
      <c r="F26" s="153"/>
      <c r="G26" s="54"/>
      <c r="H26" s="55"/>
      <c r="I26" s="56"/>
      <c r="J26" s="211"/>
      <c r="K26" s="58"/>
    </row>
    <row r="27" spans="2:11">
      <c r="B27" s="202" t="s">
        <v>163</v>
      </c>
      <c r="C27" s="203"/>
      <c r="D27" s="204"/>
      <c r="E27" s="49">
        <v>1933.11</v>
      </c>
      <c r="F27" s="153"/>
      <c r="G27" s="377" t="s">
        <v>5</v>
      </c>
      <c r="H27" s="378"/>
      <c r="I27" s="59"/>
      <c r="J27" s="60"/>
      <c r="K27" s="45"/>
    </row>
    <row r="28" spans="2:11">
      <c r="B28" s="199" t="s">
        <v>22</v>
      </c>
      <c r="C28" s="200"/>
      <c r="D28" s="201"/>
      <c r="E28" s="49">
        <v>0</v>
      </c>
      <c r="F28" s="221"/>
      <c r="G28" s="22">
        <f>21832.19-11500-8500</f>
        <v>1832.1899999999987</v>
      </c>
      <c r="H28" s="62" t="s">
        <v>9</v>
      </c>
      <c r="I28" s="59"/>
      <c r="J28" s="60"/>
      <c r="K28" s="45"/>
    </row>
    <row r="29" spans="2:11">
      <c r="B29" s="199" t="s">
        <v>64</v>
      </c>
      <c r="C29" s="200"/>
      <c r="D29" s="201"/>
      <c r="E29" s="49">
        <v>0</v>
      </c>
      <c r="F29" s="220"/>
      <c r="G29" s="22">
        <f>154672.46- 154326.09</f>
        <v>346.36999999999534</v>
      </c>
      <c r="H29" s="62" t="s">
        <v>26</v>
      </c>
      <c r="I29" s="63"/>
      <c r="J29" s="64" t="s">
        <v>27</v>
      </c>
      <c r="K29" s="65" t="s">
        <v>28</v>
      </c>
    </row>
    <row r="30" spans="2:11">
      <c r="B30" s="199" t="s">
        <v>24</v>
      </c>
      <c r="C30" s="200"/>
      <c r="D30" s="201"/>
      <c r="E30" s="49">
        <v>0</v>
      </c>
      <c r="F30" s="220"/>
      <c r="G30" s="67">
        <v>1734.83</v>
      </c>
      <c r="H30" s="68" t="s">
        <v>14</v>
      </c>
      <c r="I30" s="63"/>
      <c r="J30" s="64" t="s">
        <v>30</v>
      </c>
      <c r="K30" s="65" t="s">
        <v>31</v>
      </c>
    </row>
    <row r="31" spans="2:11" ht="15" thickBot="1">
      <c r="B31" s="344" t="s">
        <v>25</v>
      </c>
      <c r="C31" s="345"/>
      <c r="D31" s="346"/>
      <c r="E31" s="49">
        <v>0</v>
      </c>
      <c r="F31" s="220"/>
      <c r="G31" s="71">
        <f>7579.67-254025.53+250000</f>
        <v>3554.140000000014</v>
      </c>
      <c r="H31" s="72" t="s">
        <v>12</v>
      </c>
      <c r="I31" s="73"/>
      <c r="J31" s="74" t="s">
        <v>32</v>
      </c>
      <c r="K31" s="75" t="s">
        <v>33</v>
      </c>
    </row>
    <row r="32" spans="2:11" ht="15" thickBot="1">
      <c r="B32" s="363" t="s">
        <v>29</v>
      </c>
      <c r="C32" s="364"/>
      <c r="D32" s="365"/>
      <c r="E32" s="66">
        <v>0</v>
      </c>
      <c r="F32" s="220"/>
      <c r="G32" s="76"/>
      <c r="H32" s="76"/>
      <c r="I32" s="76"/>
      <c r="J32" s="76"/>
      <c r="K32" s="1"/>
    </row>
    <row r="37" spans="5:13" s="61" customFormat="1" ht="15" customHeight="1">
      <c r="E37" s="161" t="s">
        <v>197</v>
      </c>
      <c r="F37" s="197"/>
      <c r="G37" s="161"/>
      <c r="H37" s="161" t="s">
        <v>199</v>
      </c>
      <c r="I37" s="197"/>
      <c r="J37" s="13"/>
      <c r="K37" s="83"/>
      <c r="L37" s="161" t="s">
        <v>200</v>
      </c>
      <c r="M37" s="197"/>
    </row>
    <row r="38" spans="5:13" s="61" customFormat="1" ht="15" customHeight="1">
      <c r="E38" s="161"/>
      <c r="F38" s="197"/>
      <c r="G38" s="88"/>
      <c r="H38" s="161"/>
      <c r="I38" s="197"/>
      <c r="J38" s="13"/>
      <c r="K38" s="83"/>
      <c r="L38" s="161"/>
      <c r="M38" s="197"/>
    </row>
    <row r="39" spans="5:13" s="61" customFormat="1" ht="15" customHeight="1">
      <c r="E39" s="61" t="s">
        <v>34</v>
      </c>
      <c r="F39" s="197">
        <f>F17</f>
        <v>74333.119999999995</v>
      </c>
      <c r="G39" s="88"/>
      <c r="H39" s="61" t="s">
        <v>34</v>
      </c>
      <c r="I39" s="197">
        <f>I17</f>
        <v>0</v>
      </c>
      <c r="J39" s="13">
        <f>+F17</f>
        <v>74333.119999999995</v>
      </c>
      <c r="K39" s="85"/>
      <c r="L39" s="61" t="s">
        <v>34</v>
      </c>
      <c r="M39" s="197">
        <f>+F17</f>
        <v>74333.119999999995</v>
      </c>
    </row>
    <row r="40" spans="5:13" s="61" customFormat="1" ht="15" customHeight="1">
      <c r="E40" s="61" t="s">
        <v>35</v>
      </c>
      <c r="F40" s="214">
        <f>+E19</f>
        <v>7467.5300000000079</v>
      </c>
      <c r="G40" s="88"/>
      <c r="H40" s="61" t="s">
        <v>35</v>
      </c>
      <c r="I40" s="214">
        <f>+H19</f>
        <v>0</v>
      </c>
      <c r="J40" s="13">
        <v>0</v>
      </c>
      <c r="K40" s="87"/>
      <c r="L40" s="61" t="s">
        <v>35</v>
      </c>
      <c r="M40" s="197">
        <v>0</v>
      </c>
    </row>
    <row r="41" spans="5:13" s="61" customFormat="1" ht="15" customHeight="1">
      <c r="E41" s="61" t="s">
        <v>36</v>
      </c>
      <c r="F41" s="197">
        <f>495000-325000</f>
        <v>170000</v>
      </c>
      <c r="G41" s="13"/>
      <c r="H41" s="61" t="s">
        <v>36</v>
      </c>
      <c r="I41" s="197">
        <f>495000-325000</f>
        <v>170000</v>
      </c>
      <c r="J41" s="13">
        <v>0</v>
      </c>
      <c r="L41" s="61" t="s">
        <v>36</v>
      </c>
      <c r="M41" s="197">
        <v>0</v>
      </c>
    </row>
    <row r="42" spans="5:13" s="61" customFormat="1" ht="15" customHeight="1">
      <c r="E42" s="61" t="s">
        <v>37</v>
      </c>
      <c r="F42" s="197">
        <v>410000</v>
      </c>
      <c r="G42" s="13"/>
      <c r="H42" s="61" t="s">
        <v>37</v>
      </c>
      <c r="I42" s="197">
        <v>0</v>
      </c>
      <c r="J42" s="13">
        <v>3800000</v>
      </c>
      <c r="L42" s="61" t="s">
        <v>37</v>
      </c>
      <c r="M42" s="197">
        <v>0</v>
      </c>
    </row>
    <row r="43" spans="5:13" s="61" customFormat="1" ht="15" customHeight="1">
      <c r="E43" s="163" t="s">
        <v>38</v>
      </c>
      <c r="F43" s="229">
        <f>SUM(F39:F42)</f>
        <v>661800.65</v>
      </c>
      <c r="G43" s="13"/>
      <c r="H43" s="163" t="s">
        <v>38</v>
      </c>
      <c r="I43" s="229">
        <f>SUM(I39:I42)</f>
        <v>170000</v>
      </c>
      <c r="J43" s="13">
        <f>SUM(J39:J42)</f>
        <v>3874333.12</v>
      </c>
      <c r="L43" s="163" t="s">
        <v>38</v>
      </c>
      <c r="M43" s="229">
        <f>SUM(M39:M42)</f>
        <v>74333.119999999995</v>
      </c>
    </row>
    <row r="44" spans="5:13" s="61" customFormat="1" ht="15" customHeight="1">
      <c r="E44" s="165"/>
      <c r="F44" s="230"/>
      <c r="G44" s="13"/>
      <c r="H44" s="165"/>
      <c r="I44" s="230"/>
      <c r="J44" s="13"/>
      <c r="L44" s="165"/>
      <c r="M44" s="230"/>
    </row>
    <row r="45" spans="5:13" s="61" customFormat="1" ht="15" customHeight="1">
      <c r="E45" s="165" t="s">
        <v>152</v>
      </c>
      <c r="F45" s="230">
        <v>135000</v>
      </c>
      <c r="G45" s="13"/>
      <c r="H45" s="165" t="s">
        <v>152</v>
      </c>
      <c r="I45" s="230">
        <v>135000</v>
      </c>
      <c r="J45" s="13">
        <v>135000</v>
      </c>
      <c r="L45" s="165" t="s">
        <v>152</v>
      </c>
      <c r="M45" s="230">
        <v>135000</v>
      </c>
    </row>
    <row r="46" spans="5:13" s="61" customFormat="1" ht="15" customHeight="1">
      <c r="E46" s="165" t="s">
        <v>69</v>
      </c>
      <c r="F46" s="230">
        <v>0</v>
      </c>
      <c r="G46" s="13"/>
      <c r="H46" s="91" t="s">
        <v>50</v>
      </c>
      <c r="I46" s="219">
        <f>150000-90000</f>
        <v>60000</v>
      </c>
      <c r="J46" s="13">
        <v>70000</v>
      </c>
      <c r="L46" s="165" t="s">
        <v>69</v>
      </c>
      <c r="M46" s="230">
        <v>60000</v>
      </c>
    </row>
    <row r="47" spans="5:13" s="61" customFormat="1">
      <c r="E47" s="165" t="s">
        <v>80</v>
      </c>
      <c r="F47" s="230">
        <v>0</v>
      </c>
      <c r="H47" s="91" t="s">
        <v>24</v>
      </c>
      <c r="I47" s="219">
        <v>0</v>
      </c>
      <c r="J47" s="13">
        <f>100000+15000+65000+220000</f>
        <v>400000</v>
      </c>
      <c r="L47" s="165" t="s">
        <v>201</v>
      </c>
      <c r="M47" s="230">
        <v>1350000</v>
      </c>
    </row>
    <row r="48" spans="5:13" s="61" customFormat="1">
      <c r="E48" s="165" t="s">
        <v>81</v>
      </c>
      <c r="F48" s="230">
        <v>850000</v>
      </c>
      <c r="H48" s="91" t="s">
        <v>22</v>
      </c>
      <c r="I48" s="219">
        <f>170000-45000</f>
        <v>125000</v>
      </c>
      <c r="J48" s="13">
        <v>50000</v>
      </c>
      <c r="L48" s="165" t="s">
        <v>202</v>
      </c>
      <c r="M48" s="230">
        <v>90000</v>
      </c>
    </row>
    <row r="49" spans="4:13" s="61" customFormat="1">
      <c r="D49" s="82"/>
      <c r="E49" s="91" t="s">
        <v>24</v>
      </c>
      <c r="F49" s="219">
        <v>0</v>
      </c>
      <c r="H49" s="91" t="s">
        <v>40</v>
      </c>
      <c r="I49" s="231">
        <f>SUM(I45:I48)</f>
        <v>320000</v>
      </c>
      <c r="J49" s="13">
        <v>70000</v>
      </c>
      <c r="L49" s="91" t="s">
        <v>24</v>
      </c>
      <c r="M49" s="219">
        <v>80000</v>
      </c>
    </row>
    <row r="50" spans="4:13" s="61" customFormat="1">
      <c r="D50" s="82"/>
      <c r="E50" s="91" t="s">
        <v>198</v>
      </c>
      <c r="F50" s="219">
        <v>0</v>
      </c>
      <c r="H50" s="96" t="s">
        <v>41</v>
      </c>
      <c r="I50" s="231">
        <f>I43-I49</f>
        <v>-150000</v>
      </c>
      <c r="J50" s="262">
        <f>SUM(J45:J49)</f>
        <v>725000</v>
      </c>
      <c r="L50" s="91" t="s">
        <v>50</v>
      </c>
      <c r="M50" s="219">
        <f>150000-90000</f>
        <v>60000</v>
      </c>
    </row>
    <row r="51" spans="4:13" s="61" customFormat="1">
      <c r="D51" s="8"/>
      <c r="E51" s="91" t="s">
        <v>22</v>
      </c>
      <c r="F51" s="219">
        <f>150000-90000</f>
        <v>60000</v>
      </c>
      <c r="H51" s="96" t="s">
        <v>42</v>
      </c>
      <c r="I51" s="228"/>
      <c r="J51" s="262">
        <f>+J43-J50</f>
        <v>3149333.12</v>
      </c>
      <c r="L51" s="91" t="s">
        <v>22</v>
      </c>
      <c r="M51" s="219">
        <v>50000</v>
      </c>
    </row>
    <row r="52" spans="4:13" s="61" customFormat="1">
      <c r="D52" s="8"/>
      <c r="E52" s="91" t="s">
        <v>40</v>
      </c>
      <c r="F52" s="219">
        <f>170000-45000</f>
        <v>125000</v>
      </c>
      <c r="H52" s="83"/>
      <c r="I52" s="228">
        <f>43800+180000</f>
        <v>223800</v>
      </c>
      <c r="J52" s="13"/>
      <c r="L52" s="91" t="s">
        <v>40</v>
      </c>
      <c r="M52" s="232">
        <v>150000</v>
      </c>
    </row>
    <row r="53" spans="4:13" s="61" customFormat="1">
      <c r="D53" s="8"/>
      <c r="E53" s="96" t="s">
        <v>41</v>
      </c>
      <c r="F53" s="231">
        <f>SUM(F45:F52)</f>
        <v>1170000</v>
      </c>
      <c r="H53" s="83"/>
      <c r="I53" s="228">
        <f>100000+350000-20000-40000+165000+10000-200000</f>
        <v>365000</v>
      </c>
      <c r="J53" s="13"/>
      <c r="L53" s="165" t="s">
        <v>105</v>
      </c>
      <c r="M53" s="219">
        <v>95000</v>
      </c>
    </row>
    <row r="54" spans="4:13" s="61" customFormat="1">
      <c r="D54" s="8"/>
      <c r="E54" s="96" t="s">
        <v>42</v>
      </c>
      <c r="F54" s="231">
        <f>F43-F53</f>
        <v>-508199.35</v>
      </c>
      <c r="H54" s="83"/>
      <c r="I54" s="232"/>
      <c r="J54" s="13"/>
      <c r="L54" s="91" t="s">
        <v>53</v>
      </c>
      <c r="M54" s="232">
        <v>185000</v>
      </c>
    </row>
    <row r="55" spans="4:13" s="61" customFormat="1">
      <c r="D55" s="8"/>
      <c r="E55" s="83"/>
      <c r="F55" s="228"/>
      <c r="G55" s="83"/>
      <c r="H55" s="83"/>
      <c r="I55" s="233"/>
      <c r="J55" s="13"/>
      <c r="L55" s="91" t="s">
        <v>116</v>
      </c>
      <c r="M55" s="232">
        <v>30000</v>
      </c>
    </row>
    <row r="56" spans="4:13" s="61" customFormat="1">
      <c r="D56" s="8"/>
      <c r="E56" s="83"/>
      <c r="F56" s="228"/>
      <c r="G56" s="83"/>
      <c r="H56" s="96"/>
      <c r="I56" s="228"/>
      <c r="J56" s="13"/>
      <c r="L56" s="96" t="s">
        <v>41</v>
      </c>
      <c r="M56" s="231">
        <f>SUM(M45:M55)</f>
        <v>2285000</v>
      </c>
    </row>
    <row r="57" spans="4:13" s="61" customFormat="1">
      <c r="D57" s="8"/>
      <c r="E57" s="83"/>
      <c r="F57" s="228"/>
      <c r="G57" s="83"/>
      <c r="H57" s="83"/>
      <c r="I57" s="233"/>
      <c r="J57" s="13"/>
      <c r="L57" s="96" t="s">
        <v>42</v>
      </c>
      <c r="M57" s="233">
        <f>+M43-M56</f>
        <v>-2210666.88</v>
      </c>
    </row>
    <row r="58" spans="4:13" s="61" customFormat="1">
      <c r="D58" s="8"/>
      <c r="E58" s="83"/>
      <c r="F58" s="232"/>
      <c r="G58" s="83"/>
      <c r="H58" s="96"/>
      <c r="I58" s="219"/>
      <c r="J58" s="13"/>
      <c r="L58" s="83"/>
      <c r="M58" s="228"/>
    </row>
    <row r="59" spans="4:13">
      <c r="D59" s="8"/>
      <c r="E59" s="96"/>
      <c r="F59" s="233"/>
      <c r="G59" s="83"/>
      <c r="H59" s="61"/>
      <c r="I59" s="61"/>
      <c r="J59" s="13"/>
      <c r="K59" s="61"/>
      <c r="L59" s="83"/>
      <c r="M59" s="228"/>
    </row>
    <row r="60" spans="4:13">
      <c r="D60" s="8"/>
      <c r="E60" s="83"/>
      <c r="F60" s="228"/>
      <c r="G60" s="61"/>
      <c r="H60" s="61"/>
      <c r="I60" s="61"/>
      <c r="J60" s="13"/>
      <c r="K60" s="61"/>
      <c r="L60" s="83"/>
      <c r="M60" s="232"/>
    </row>
    <row r="61" spans="4:13">
      <c r="D61" s="8"/>
      <c r="E61" s="96"/>
      <c r="F61" s="233"/>
      <c r="G61" s="61"/>
      <c r="H61" s="61"/>
      <c r="I61" s="61"/>
      <c r="J61" s="13"/>
      <c r="K61" s="61"/>
      <c r="L61" s="83"/>
      <c r="M61" s="233"/>
    </row>
    <row r="62" spans="4:13">
      <c r="D62" s="61"/>
      <c r="E62" s="61"/>
      <c r="F62" s="219"/>
      <c r="G62" s="61"/>
      <c r="H62" s="61"/>
      <c r="I62" s="61"/>
      <c r="J62" s="13"/>
      <c r="K62" s="61"/>
      <c r="L62" s="96"/>
      <c r="M62" s="228"/>
    </row>
    <row r="63" spans="4:13">
      <c r="D63" s="8"/>
      <c r="E63" s="8"/>
      <c r="F63" s="220"/>
      <c r="G63" s="8"/>
      <c r="H63" s="61"/>
      <c r="I63" s="61"/>
      <c r="J63" s="13"/>
      <c r="K63" s="61"/>
      <c r="L63" s="83"/>
      <c r="M63" s="233"/>
    </row>
    <row r="64" spans="4:13">
      <c r="D64" s="383" t="s">
        <v>192</v>
      </c>
      <c r="E64" s="383"/>
      <c r="F64" s="383"/>
      <c r="G64" s="8"/>
      <c r="H64" s="61"/>
      <c r="I64" s="61"/>
      <c r="J64" s="13"/>
      <c r="K64" s="61"/>
      <c r="L64" s="96"/>
      <c r="M64" s="219"/>
    </row>
    <row r="65" spans="4:7">
      <c r="D65" s="247" t="s">
        <v>194</v>
      </c>
      <c r="E65" s="247" t="s">
        <v>193</v>
      </c>
      <c r="F65" s="248" t="s">
        <v>24</v>
      </c>
      <c r="G65" s="8"/>
    </row>
    <row r="66" spans="4:7">
      <c r="D66" s="8" t="s">
        <v>9</v>
      </c>
      <c r="E66" s="249">
        <v>0</v>
      </c>
      <c r="F66" s="250">
        <v>20000</v>
      </c>
      <c r="G66" s="8"/>
    </row>
    <row r="67" spans="4:7">
      <c r="D67" s="8" t="s">
        <v>195</v>
      </c>
      <c r="E67" s="249">
        <v>125838.99076255714</v>
      </c>
      <c r="F67" s="250">
        <v>28487.100420091323</v>
      </c>
      <c r="G67" s="124">
        <f>SUM(E69:F69)</f>
        <v>178351.62118264847</v>
      </c>
    </row>
    <row r="68" spans="4:7">
      <c r="D68" s="8" t="s">
        <v>188</v>
      </c>
      <c r="E68" s="249">
        <f>254025.53-250000</f>
        <v>4025.5299999999988</v>
      </c>
      <c r="F68" s="250"/>
      <c r="G68" s="8"/>
    </row>
    <row r="69" spans="4:7">
      <c r="D69" s="8"/>
      <c r="E69" s="124">
        <f>SUM(E66:E68)</f>
        <v>129864.52076255713</v>
      </c>
      <c r="F69" s="250">
        <f>SUM(F66:F68)</f>
        <v>48487.100420091323</v>
      </c>
      <c r="G69" s="8"/>
    </row>
  </sheetData>
  <mergeCells count="17">
    <mergeCell ref="G27:H27"/>
    <mergeCell ref="B31:D31"/>
    <mergeCell ref="B32:D32"/>
    <mergeCell ref="D64:F64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3C088-0AD8-4395-B112-0A9E2A484354}">
  <dimension ref="A6:M69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2" ht="18" thickBot="1">
      <c r="A12" s="11"/>
      <c r="B12" s="331" t="s">
        <v>2</v>
      </c>
      <c r="C12" s="332"/>
      <c r="D12" s="332"/>
      <c r="E12" s="333"/>
      <c r="F12" s="217"/>
      <c r="G12" s="1"/>
      <c r="H12" s="1"/>
      <c r="I12" s="1"/>
      <c r="J12" s="76"/>
      <c r="K12" s="1"/>
      <c r="L12" s="13"/>
    </row>
    <row r="13" spans="1:12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  <c r="L13" s="13"/>
    </row>
    <row r="14" spans="1:12" ht="15" thickBot="1">
      <c r="A14" s="1"/>
      <c r="B14" s="334" t="s">
        <v>3</v>
      </c>
      <c r="C14" s="335"/>
      <c r="D14" s="336"/>
      <c r="E14" s="17">
        <f>SUM(E15:E17)</f>
        <v>622731.18000000005</v>
      </c>
      <c r="F14" s="153"/>
      <c r="G14" s="331" t="s">
        <v>4</v>
      </c>
      <c r="H14" s="332"/>
      <c r="I14" s="332"/>
      <c r="J14" s="332"/>
      <c r="K14" s="333"/>
      <c r="L14" s="19"/>
    </row>
    <row r="15" spans="1:12">
      <c r="A15" s="1"/>
      <c r="B15" s="337" t="s">
        <v>5</v>
      </c>
      <c r="C15" s="338"/>
      <c r="D15" s="339"/>
      <c r="E15" s="20">
        <f>J16+J17+J18+J19</f>
        <v>187008.96000000002</v>
      </c>
      <c r="F15" s="153">
        <f>E15+E16+E17</f>
        <v>622731.18000000005</v>
      </c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26345.510000000002</v>
      </c>
      <c r="F16" s="153">
        <v>90000</v>
      </c>
      <c r="G16" s="22">
        <v>10049.19</v>
      </c>
      <c r="H16" s="23" t="s">
        <v>8</v>
      </c>
      <c r="I16" s="24"/>
      <c r="J16" s="25">
        <v>10647.2</v>
      </c>
      <c r="K16" s="26" t="s">
        <v>9</v>
      </c>
      <c r="L16" s="13"/>
    </row>
    <row r="17" spans="2:11">
      <c r="B17" s="352" t="s">
        <v>6</v>
      </c>
      <c r="C17" s="353"/>
      <c r="D17" s="354"/>
      <c r="E17" s="28">
        <f>G16+G17+G18</f>
        <v>409376.71</v>
      </c>
      <c r="F17" s="153">
        <f>F15-F16</f>
        <v>532731.18000000005</v>
      </c>
      <c r="G17" s="22">
        <v>391230.95</v>
      </c>
      <c r="H17" s="29" t="s">
        <v>10</v>
      </c>
      <c r="I17" s="30"/>
      <c r="J17" s="25">
        <v>117628.81</v>
      </c>
      <c r="K17" s="31" t="s">
        <v>10</v>
      </c>
    </row>
    <row r="18" spans="2:11">
      <c r="B18" s="236" t="s">
        <v>187</v>
      </c>
      <c r="C18" s="237"/>
      <c r="D18" s="238"/>
      <c r="E18" s="28">
        <f>+J22</f>
        <v>0</v>
      </c>
      <c r="F18" s="153"/>
      <c r="G18" s="22">
        <v>8096.57</v>
      </c>
      <c r="H18" s="29" t="s">
        <v>12</v>
      </c>
      <c r="I18" s="30"/>
      <c r="J18" s="25">
        <v>38610.94</v>
      </c>
      <c r="K18" s="31" t="s">
        <v>12</v>
      </c>
    </row>
    <row r="19" spans="2:11">
      <c r="B19" s="379" t="s">
        <v>11</v>
      </c>
      <c r="C19" s="380"/>
      <c r="D19" s="381"/>
      <c r="E19" s="20">
        <f>G29+G31+G30+G28</f>
        <v>7484.5700000000052</v>
      </c>
      <c r="F19" s="153"/>
      <c r="G19" s="33"/>
      <c r="H19" s="34"/>
      <c r="I19" s="30"/>
      <c r="J19" s="25">
        <v>20122.009999999998</v>
      </c>
      <c r="K19" s="31" t="s">
        <v>14</v>
      </c>
    </row>
    <row r="20" spans="2:11">
      <c r="B20" s="344" t="s">
        <v>13</v>
      </c>
      <c r="C20" s="345"/>
      <c r="D20" s="346"/>
      <c r="E20" s="20">
        <v>22951397.690000001</v>
      </c>
      <c r="F20" s="153"/>
      <c r="G20" s="239"/>
      <c r="H20" s="240"/>
      <c r="I20" s="30"/>
      <c r="J20" s="25"/>
      <c r="K20" s="31"/>
    </row>
    <row r="21" spans="2:11">
      <c r="B21" s="187" t="s">
        <v>15</v>
      </c>
      <c r="C21" s="188"/>
      <c r="D21" s="189"/>
      <c r="E21" s="190">
        <f>SUM(E22:E25)</f>
        <v>484335.96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1">
      <c r="B22" s="187"/>
      <c r="C22" s="188"/>
      <c r="D22" s="198" t="s">
        <v>70</v>
      </c>
      <c r="E22" s="190">
        <v>379148.32</v>
      </c>
      <c r="F22" s="153">
        <f>SUM(E26:E32)</f>
        <v>590979</v>
      </c>
      <c r="G22" s="44">
        <v>13634.84</v>
      </c>
      <c r="H22" s="29" t="s">
        <v>10</v>
      </c>
      <c r="I22" s="30"/>
      <c r="J22" s="25">
        <v>0</v>
      </c>
      <c r="K22" s="31" t="s">
        <v>188</v>
      </c>
    </row>
    <row r="23" spans="2:11">
      <c r="B23" s="187"/>
      <c r="C23" s="188"/>
      <c r="D23" s="198" t="s">
        <v>61</v>
      </c>
      <c r="E23" s="190">
        <v>28242.18</v>
      </c>
      <c r="F23" s="153"/>
      <c r="G23" s="44">
        <v>12710.67</v>
      </c>
      <c r="H23" s="29" t="s">
        <v>18</v>
      </c>
      <c r="I23" s="30"/>
      <c r="J23" s="25"/>
      <c r="K23" s="31"/>
    </row>
    <row r="24" spans="2:11" ht="15" thickBot="1">
      <c r="B24" s="187"/>
      <c r="C24" s="188"/>
      <c r="D24" s="198" t="s">
        <v>204</v>
      </c>
      <c r="E24" s="190" t="s">
        <v>203</v>
      </c>
      <c r="F24" s="153"/>
      <c r="G24" s="51"/>
      <c r="H24" s="34"/>
      <c r="I24" s="30"/>
      <c r="J24" s="210"/>
      <c r="K24" s="53"/>
    </row>
    <row r="25" spans="2:11" ht="15" thickBot="1">
      <c r="B25" s="206"/>
      <c r="C25" s="205"/>
      <c r="D25" s="208" t="s">
        <v>61</v>
      </c>
      <c r="E25" s="190">
        <v>76945.460000000006</v>
      </c>
      <c r="F25" s="153">
        <f>+F17-F22</f>
        <v>-58247.819999999949</v>
      </c>
      <c r="G25" s="331" t="s">
        <v>21</v>
      </c>
      <c r="H25" s="332"/>
      <c r="I25" s="332"/>
      <c r="J25" s="332"/>
      <c r="K25" s="333"/>
    </row>
    <row r="26" spans="2:11">
      <c r="B26" s="46" t="s">
        <v>17</v>
      </c>
      <c r="C26" s="47"/>
      <c r="D26" s="48"/>
      <c r="E26" s="234">
        <v>0</v>
      </c>
      <c r="F26" s="153"/>
      <c r="G26" s="54"/>
      <c r="H26" s="55"/>
      <c r="I26" s="56"/>
      <c r="J26" s="211"/>
      <c r="K26" s="58"/>
    </row>
    <row r="27" spans="2:11">
      <c r="B27" s="202" t="s">
        <v>163</v>
      </c>
      <c r="C27" s="203"/>
      <c r="D27" s="204"/>
      <c r="E27" s="49">
        <v>0</v>
      </c>
      <c r="F27" s="153"/>
      <c r="G27" s="377" t="s">
        <v>5</v>
      </c>
      <c r="H27" s="378"/>
      <c r="I27" s="59"/>
      <c r="J27" s="60"/>
      <c r="K27" s="45"/>
    </row>
    <row r="28" spans="2:11">
      <c r="B28" s="199" t="s">
        <v>22</v>
      </c>
      <c r="C28" s="200"/>
      <c r="D28" s="201"/>
      <c r="E28" s="49">
        <v>0</v>
      </c>
      <c r="F28" s="221"/>
      <c r="G28" s="22">
        <f>21834.92-11500-8500</f>
        <v>1834.9199999999983</v>
      </c>
      <c r="H28" s="62" t="s">
        <v>9</v>
      </c>
      <c r="I28" s="59"/>
      <c r="J28" s="60"/>
      <c r="K28" s="45"/>
    </row>
    <row r="29" spans="2:11">
      <c r="B29" s="199" t="s">
        <v>81</v>
      </c>
      <c r="C29" s="200"/>
      <c r="D29" s="201"/>
      <c r="E29" s="49">
        <f>525765+6087+1506+1412+54914+1295</f>
        <v>590979</v>
      </c>
      <c r="F29" s="219"/>
      <c r="G29" s="22">
        <f>154686.77- 154326.09</f>
        <v>360.67999999999302</v>
      </c>
      <c r="H29" s="62" t="s">
        <v>26</v>
      </c>
      <c r="I29" s="63"/>
      <c r="J29" s="64" t="s">
        <v>27</v>
      </c>
      <c r="K29" s="65" t="s">
        <v>28</v>
      </c>
    </row>
    <row r="30" spans="2:11">
      <c r="B30" s="199" t="s">
        <v>24</v>
      </c>
      <c r="C30" s="200"/>
      <c r="D30" s="201"/>
      <c r="E30" s="49">
        <v>0</v>
      </c>
      <c r="F30" s="219"/>
      <c r="G30" s="67">
        <v>1734.83</v>
      </c>
      <c r="H30" s="68" t="s">
        <v>14</v>
      </c>
      <c r="I30" s="63"/>
      <c r="J30" s="64" t="s">
        <v>30</v>
      </c>
      <c r="K30" s="65" t="s">
        <v>31</v>
      </c>
    </row>
    <row r="31" spans="2:11" ht="15" thickBot="1">
      <c r="B31" s="344" t="s">
        <v>25</v>
      </c>
      <c r="C31" s="345"/>
      <c r="D31" s="346"/>
      <c r="E31" s="49">
        <v>0</v>
      </c>
      <c r="F31" s="219"/>
      <c r="G31" s="71">
        <f>7579.67-254025.53+250000</f>
        <v>3554.140000000014</v>
      </c>
      <c r="H31" s="72" t="s">
        <v>12</v>
      </c>
      <c r="I31" s="73"/>
      <c r="J31" s="74" t="s">
        <v>32</v>
      </c>
      <c r="K31" s="75" t="s">
        <v>33</v>
      </c>
    </row>
    <row r="32" spans="2:11" ht="15" thickBot="1">
      <c r="B32" s="363" t="s">
        <v>29</v>
      </c>
      <c r="C32" s="364"/>
      <c r="D32" s="365"/>
      <c r="E32" s="66">
        <v>0</v>
      </c>
      <c r="F32" s="219"/>
      <c r="G32" s="76"/>
      <c r="H32" s="76"/>
      <c r="I32" s="76"/>
      <c r="J32" s="76"/>
      <c r="K32" s="1"/>
    </row>
    <row r="37" spans="5:13" s="61" customFormat="1" ht="15" customHeight="1">
      <c r="E37" s="181" t="s">
        <v>197</v>
      </c>
      <c r="F37" s="222"/>
      <c r="G37" s="181"/>
      <c r="H37" s="181" t="s">
        <v>199</v>
      </c>
      <c r="I37" s="222"/>
      <c r="J37" s="9"/>
      <c r="K37" s="82"/>
      <c r="L37" s="181" t="s">
        <v>200</v>
      </c>
      <c r="M37" s="222"/>
    </row>
    <row r="38" spans="5:13" s="61" customFormat="1" ht="15" customHeight="1">
      <c r="E38" s="181"/>
      <c r="F38" s="222"/>
      <c r="G38" s="86"/>
      <c r="H38" s="181"/>
      <c r="I38" s="222"/>
      <c r="J38" s="9"/>
      <c r="K38" s="82"/>
      <c r="L38" s="181"/>
      <c r="M38" s="222"/>
    </row>
    <row r="39" spans="5:13" s="61" customFormat="1" ht="15" customHeight="1">
      <c r="E39" s="8" t="s">
        <v>34</v>
      </c>
      <c r="F39" s="222">
        <f>F17</f>
        <v>532731.18000000005</v>
      </c>
      <c r="G39" s="86"/>
      <c r="H39" s="8" t="s">
        <v>34</v>
      </c>
      <c r="I39" s="222">
        <f>I17</f>
        <v>0</v>
      </c>
      <c r="J39" s="9">
        <f>+F17</f>
        <v>532731.18000000005</v>
      </c>
      <c r="K39" s="112"/>
      <c r="L39" s="8" t="s">
        <v>34</v>
      </c>
      <c r="M39" s="222">
        <f>+F17</f>
        <v>532731.18000000005</v>
      </c>
    </row>
    <row r="40" spans="5:13" s="61" customFormat="1" ht="15" customHeight="1">
      <c r="E40" s="8" t="s">
        <v>35</v>
      </c>
      <c r="F40" s="213">
        <f>+E19</f>
        <v>7484.5700000000052</v>
      </c>
      <c r="G40" s="86"/>
      <c r="H40" s="8" t="s">
        <v>35</v>
      </c>
      <c r="I40" s="213">
        <f>+H19</f>
        <v>0</v>
      </c>
      <c r="J40" s="9">
        <v>0</v>
      </c>
      <c r="K40" s="113"/>
      <c r="L40" s="8" t="s">
        <v>35</v>
      </c>
      <c r="M40" s="222">
        <v>0</v>
      </c>
    </row>
    <row r="41" spans="5:13" s="61" customFormat="1" ht="15" customHeight="1">
      <c r="E41" s="8" t="s">
        <v>36</v>
      </c>
      <c r="F41" s="222">
        <f>495000-325000</f>
        <v>170000</v>
      </c>
      <c r="G41" s="9"/>
      <c r="H41" s="8" t="s">
        <v>36</v>
      </c>
      <c r="I41" s="222">
        <f>495000-325000</f>
        <v>170000</v>
      </c>
      <c r="J41" s="9">
        <v>0</v>
      </c>
      <c r="K41" s="8"/>
      <c r="L41" s="8" t="s">
        <v>36</v>
      </c>
      <c r="M41" s="222">
        <v>0</v>
      </c>
    </row>
    <row r="42" spans="5:13" s="61" customFormat="1" ht="15" customHeight="1">
      <c r="E42" s="8" t="s">
        <v>37</v>
      </c>
      <c r="F42" s="222">
        <v>410000</v>
      </c>
      <c r="G42" s="9"/>
      <c r="H42" s="8" t="s">
        <v>37</v>
      </c>
      <c r="I42" s="222">
        <v>0</v>
      </c>
      <c r="J42" s="9">
        <v>3800000</v>
      </c>
      <c r="K42" s="8"/>
      <c r="L42" s="8" t="s">
        <v>37</v>
      </c>
      <c r="M42" s="222">
        <v>0</v>
      </c>
    </row>
    <row r="43" spans="5:13" s="61" customFormat="1" ht="15" customHeight="1">
      <c r="E43" s="182" t="s">
        <v>38</v>
      </c>
      <c r="F43" s="223">
        <f>SUM(F39:F42)</f>
        <v>1120215.75</v>
      </c>
      <c r="G43" s="9"/>
      <c r="H43" s="182" t="s">
        <v>38</v>
      </c>
      <c r="I43" s="223">
        <f>SUM(I39:I42)</f>
        <v>170000</v>
      </c>
      <c r="J43" s="9">
        <f>SUM(J39:J42)</f>
        <v>4332731.18</v>
      </c>
      <c r="K43" s="8"/>
      <c r="L43" s="182" t="s">
        <v>38</v>
      </c>
      <c r="M43" s="223">
        <f>SUM(M39:M42)</f>
        <v>532731.18000000005</v>
      </c>
    </row>
    <row r="44" spans="5:13" s="61" customFormat="1" ht="15" customHeight="1">
      <c r="E44" s="183"/>
      <c r="F44" s="224"/>
      <c r="G44" s="9"/>
      <c r="H44" s="183"/>
      <c r="I44" s="224"/>
      <c r="J44" s="9"/>
      <c r="K44" s="8"/>
      <c r="L44" s="183"/>
      <c r="M44" s="224"/>
    </row>
    <row r="45" spans="5:13" s="61" customFormat="1" ht="15" customHeight="1">
      <c r="E45" s="183" t="s">
        <v>152</v>
      </c>
      <c r="F45" s="224">
        <v>135000</v>
      </c>
      <c r="G45" s="9"/>
      <c r="H45" s="183" t="s">
        <v>152</v>
      </c>
      <c r="I45" s="224">
        <v>135000</v>
      </c>
      <c r="J45" s="9">
        <v>135000</v>
      </c>
      <c r="K45" s="8"/>
      <c r="L45" s="183" t="s">
        <v>152</v>
      </c>
      <c r="M45" s="224">
        <v>135000</v>
      </c>
    </row>
    <row r="46" spans="5:13" s="61" customFormat="1" ht="15" customHeight="1">
      <c r="E46" s="183" t="s">
        <v>69</v>
      </c>
      <c r="F46" s="224">
        <v>0</v>
      </c>
      <c r="G46" s="9"/>
      <c r="H46" s="116" t="s">
        <v>50</v>
      </c>
      <c r="I46" s="220">
        <f>150000-90000</f>
        <v>60000</v>
      </c>
      <c r="J46" s="9">
        <v>70000</v>
      </c>
      <c r="K46" s="8"/>
      <c r="L46" s="183" t="s">
        <v>69</v>
      </c>
      <c r="M46" s="224">
        <v>60000</v>
      </c>
    </row>
    <row r="47" spans="5:13" s="61" customFormat="1">
      <c r="E47" s="183" t="s">
        <v>80</v>
      </c>
      <c r="F47" s="224">
        <v>0</v>
      </c>
      <c r="G47" s="8"/>
      <c r="H47" s="116" t="s">
        <v>24</v>
      </c>
      <c r="I47" s="220">
        <v>0</v>
      </c>
      <c r="J47" s="9">
        <f>100000+15000+65000+220000</f>
        <v>400000</v>
      </c>
      <c r="K47" s="8"/>
      <c r="L47" s="183" t="s">
        <v>201</v>
      </c>
      <c r="M47" s="224">
        <v>1350000</v>
      </c>
    </row>
    <row r="48" spans="5:13" s="61" customFormat="1">
      <c r="E48" s="183" t="s">
        <v>81</v>
      </c>
      <c r="F48" s="224">
        <v>850000</v>
      </c>
      <c r="G48" s="8"/>
      <c r="H48" s="116" t="s">
        <v>22</v>
      </c>
      <c r="I48" s="220">
        <f>170000-45000</f>
        <v>125000</v>
      </c>
      <c r="J48" s="9">
        <v>50000</v>
      </c>
      <c r="K48" s="8"/>
      <c r="L48" s="183" t="s">
        <v>202</v>
      </c>
      <c r="M48" s="224">
        <v>90000</v>
      </c>
    </row>
    <row r="49" spans="4:13" s="61" customFormat="1">
      <c r="D49" s="82"/>
      <c r="E49" s="116" t="s">
        <v>24</v>
      </c>
      <c r="F49" s="220">
        <v>0</v>
      </c>
      <c r="G49" s="8"/>
      <c r="H49" s="116" t="s">
        <v>40</v>
      </c>
      <c r="I49" s="225">
        <f>SUM(I45:I48)</f>
        <v>320000</v>
      </c>
      <c r="J49" s="9">
        <v>70000</v>
      </c>
      <c r="K49" s="8"/>
      <c r="L49" s="116" t="s">
        <v>24</v>
      </c>
      <c r="M49" s="220">
        <v>80000</v>
      </c>
    </row>
    <row r="50" spans="4:13" s="61" customFormat="1">
      <c r="D50" s="82"/>
      <c r="E50" s="116" t="s">
        <v>198</v>
      </c>
      <c r="F50" s="220">
        <v>0</v>
      </c>
      <c r="G50" s="8"/>
      <c r="H50" s="118" t="s">
        <v>41</v>
      </c>
      <c r="I50" s="225">
        <f>I43-I49</f>
        <v>-150000</v>
      </c>
      <c r="J50" s="263">
        <f>SUM(J45:J49)</f>
        <v>725000</v>
      </c>
      <c r="K50" s="8"/>
      <c r="L50" s="116" t="s">
        <v>50</v>
      </c>
      <c r="M50" s="220">
        <f>150000-90000</f>
        <v>60000</v>
      </c>
    </row>
    <row r="51" spans="4:13" s="61" customFormat="1">
      <c r="D51" s="8"/>
      <c r="E51" s="116" t="s">
        <v>22</v>
      </c>
      <c r="F51" s="220">
        <f>150000-90000</f>
        <v>60000</v>
      </c>
      <c r="G51" s="8"/>
      <c r="H51" s="118" t="s">
        <v>42</v>
      </c>
      <c r="I51" s="221"/>
      <c r="J51" s="263">
        <f>+J43-J50</f>
        <v>3607731.1799999997</v>
      </c>
      <c r="K51" s="8"/>
      <c r="L51" s="116" t="s">
        <v>22</v>
      </c>
      <c r="M51" s="220">
        <v>50000</v>
      </c>
    </row>
    <row r="52" spans="4:13" s="61" customFormat="1">
      <c r="D52" s="8"/>
      <c r="E52" s="116" t="s">
        <v>40</v>
      </c>
      <c r="F52" s="220">
        <f>170000-45000</f>
        <v>125000</v>
      </c>
      <c r="G52" s="8"/>
      <c r="H52" s="82"/>
      <c r="I52" s="221">
        <f>43800+180000</f>
        <v>223800</v>
      </c>
      <c r="J52" s="9"/>
      <c r="K52" s="8"/>
      <c r="L52" s="116" t="s">
        <v>40</v>
      </c>
      <c r="M52" s="226">
        <v>150000</v>
      </c>
    </row>
    <row r="53" spans="4:13" s="61" customFormat="1">
      <c r="D53" s="8"/>
      <c r="E53" s="118" t="s">
        <v>41</v>
      </c>
      <c r="F53" s="225">
        <f>SUM(F45:F52)</f>
        <v>1170000</v>
      </c>
      <c r="G53" s="8"/>
      <c r="H53" s="82"/>
      <c r="I53" s="221">
        <f>100000+350000-20000-40000+165000+10000-200000</f>
        <v>365000</v>
      </c>
      <c r="J53" s="9"/>
      <c r="K53" s="8"/>
      <c r="L53" s="183" t="s">
        <v>105</v>
      </c>
      <c r="M53" s="220">
        <v>95000</v>
      </c>
    </row>
    <row r="54" spans="4:13" s="61" customFormat="1">
      <c r="D54" s="8"/>
      <c r="E54" s="118" t="s">
        <v>42</v>
      </c>
      <c r="F54" s="225">
        <f>F43-F53</f>
        <v>-49784.25</v>
      </c>
      <c r="G54" s="8"/>
      <c r="H54" s="82"/>
      <c r="I54" s="226"/>
      <c r="J54" s="9"/>
      <c r="K54" s="8"/>
      <c r="L54" s="116" t="s">
        <v>53</v>
      </c>
      <c r="M54" s="226">
        <v>185000</v>
      </c>
    </row>
    <row r="55" spans="4:13" s="61" customFormat="1">
      <c r="D55" s="8"/>
      <c r="E55" s="82"/>
      <c r="F55" s="221"/>
      <c r="G55" s="82"/>
      <c r="H55" s="82"/>
      <c r="I55" s="227"/>
      <c r="J55" s="9"/>
      <c r="K55" s="8"/>
      <c r="L55" s="116" t="s">
        <v>116</v>
      </c>
      <c r="M55" s="226">
        <v>30000</v>
      </c>
    </row>
    <row r="56" spans="4:13" s="61" customFormat="1">
      <c r="D56" s="8"/>
      <c r="E56" s="82"/>
      <c r="F56" s="221"/>
      <c r="G56" s="82"/>
      <c r="H56" s="118"/>
      <c r="I56" s="221"/>
      <c r="J56" s="9"/>
      <c r="K56" s="8"/>
      <c r="L56" s="118" t="s">
        <v>41</v>
      </c>
      <c r="M56" s="225">
        <f>SUM(M45:M55)</f>
        <v>2285000</v>
      </c>
    </row>
    <row r="57" spans="4:13" s="61" customFormat="1">
      <c r="D57" s="8"/>
      <c r="E57" s="82"/>
      <c r="F57" s="221"/>
      <c r="G57" s="82"/>
      <c r="H57" s="82"/>
      <c r="I57" s="227"/>
      <c r="J57" s="9"/>
      <c r="K57" s="8"/>
      <c r="L57" s="118" t="s">
        <v>42</v>
      </c>
      <c r="M57" s="227">
        <f>+M43-M56</f>
        <v>-1752268.8199999998</v>
      </c>
    </row>
    <row r="58" spans="4:13" s="61" customFormat="1">
      <c r="D58" s="8"/>
      <c r="E58" s="82"/>
      <c r="F58" s="226"/>
      <c r="G58" s="82"/>
      <c r="H58" s="118"/>
      <c r="I58" s="220"/>
      <c r="J58" s="9"/>
      <c r="K58" s="8"/>
      <c r="L58" s="82"/>
      <c r="M58" s="221"/>
    </row>
    <row r="59" spans="4:13">
      <c r="D59" s="8"/>
      <c r="E59" s="118"/>
      <c r="F59" s="227"/>
      <c r="G59" s="82"/>
      <c r="H59" s="8"/>
      <c r="I59" s="8"/>
      <c r="J59" s="9"/>
      <c r="K59" s="8"/>
      <c r="L59" s="82"/>
      <c r="M59" s="221"/>
    </row>
    <row r="60" spans="4:13">
      <c r="D60" s="8"/>
      <c r="E60" s="82"/>
      <c r="F60" s="221"/>
      <c r="G60" s="8"/>
      <c r="H60" s="8"/>
      <c r="I60" s="8"/>
      <c r="J60" s="9"/>
      <c r="K60" s="8"/>
      <c r="L60" s="82"/>
      <c r="M60" s="226"/>
    </row>
    <row r="61" spans="4:13">
      <c r="D61" s="8"/>
      <c r="E61" s="118"/>
      <c r="F61" s="227"/>
      <c r="G61" s="8"/>
      <c r="H61" s="8"/>
      <c r="I61" s="8"/>
      <c r="J61" s="9"/>
      <c r="K61" s="8"/>
      <c r="L61" s="82"/>
      <c r="M61" s="227"/>
    </row>
    <row r="62" spans="4:13">
      <c r="D62" s="8"/>
      <c r="E62" s="8"/>
      <c r="F62" s="220"/>
      <c r="G62" s="8"/>
      <c r="H62" s="8"/>
      <c r="I62" s="8"/>
      <c r="J62" s="9"/>
      <c r="K62" s="8"/>
      <c r="L62" s="118"/>
      <c r="M62" s="221"/>
    </row>
    <row r="63" spans="4:13">
      <c r="D63" s="8"/>
      <c r="E63" s="8"/>
      <c r="F63" s="220"/>
      <c r="G63" s="8"/>
      <c r="H63" s="8"/>
      <c r="I63" s="8"/>
      <c r="J63" s="9"/>
      <c r="K63" s="8"/>
      <c r="L63" s="82"/>
      <c r="M63" s="227"/>
    </row>
    <row r="64" spans="4:13">
      <c r="D64" s="383" t="s">
        <v>192</v>
      </c>
      <c r="E64" s="383"/>
      <c r="F64" s="383"/>
      <c r="G64" s="8"/>
      <c r="H64" s="8"/>
      <c r="I64" s="8"/>
      <c r="J64" s="9"/>
      <c r="K64" s="8"/>
      <c r="L64" s="118"/>
      <c r="M64" s="220"/>
    </row>
    <row r="65" spans="4:7">
      <c r="D65" s="247" t="s">
        <v>194</v>
      </c>
      <c r="E65" s="247" t="s">
        <v>193</v>
      </c>
      <c r="F65" s="248" t="s">
        <v>24</v>
      </c>
      <c r="G65" s="8"/>
    </row>
    <row r="66" spans="4:7">
      <c r="D66" s="8" t="s">
        <v>9</v>
      </c>
      <c r="E66" s="249">
        <v>0</v>
      </c>
      <c r="F66" s="250">
        <v>20000</v>
      </c>
      <c r="G66" s="8"/>
    </row>
    <row r="67" spans="4:7">
      <c r="D67" s="8" t="s">
        <v>195</v>
      </c>
      <c r="E67" s="249">
        <v>125838.99076255714</v>
      </c>
      <c r="F67" s="250">
        <v>28487.100420091323</v>
      </c>
      <c r="G67" s="124">
        <f>SUM(E69:F69)</f>
        <v>178351.62118264847</v>
      </c>
    </row>
    <row r="68" spans="4:7">
      <c r="D68" s="8" t="s">
        <v>188</v>
      </c>
      <c r="E68" s="249">
        <f>254025.53-250000</f>
        <v>4025.5299999999988</v>
      </c>
      <c r="F68" s="250"/>
      <c r="G68" s="8"/>
    </row>
    <row r="69" spans="4:7">
      <c r="D69" s="8"/>
      <c r="E69" s="124">
        <f>SUM(E66:E68)</f>
        <v>129864.52076255713</v>
      </c>
      <c r="F69" s="250">
        <f>SUM(F66:F68)</f>
        <v>48487.100420091323</v>
      </c>
      <c r="G69" s="8"/>
    </row>
  </sheetData>
  <mergeCells count="17">
    <mergeCell ref="E10:F10"/>
    <mergeCell ref="B12:E12"/>
    <mergeCell ref="B14:D14"/>
    <mergeCell ref="G14:K14"/>
    <mergeCell ref="B15:D15"/>
    <mergeCell ref="G15:H15"/>
    <mergeCell ref="J15:K15"/>
    <mergeCell ref="G27:H27"/>
    <mergeCell ref="B31:D31"/>
    <mergeCell ref="B32:D32"/>
    <mergeCell ref="D64:F64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B351F-2F85-40EA-8BD9-D7E8B9C3A305}">
  <dimension ref="A6:M68"/>
  <sheetViews>
    <sheetView showGridLines="0" topLeftCell="A6" workbookViewId="0">
      <selection activeCell="A6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2" ht="18" thickBot="1">
      <c r="A12" s="11"/>
      <c r="B12" s="331" t="s">
        <v>2</v>
      </c>
      <c r="C12" s="332"/>
      <c r="D12" s="332"/>
      <c r="E12" s="333"/>
      <c r="F12" s="217"/>
      <c r="G12" s="1"/>
      <c r="H12" s="1"/>
      <c r="I12" s="1"/>
      <c r="J12" s="76"/>
      <c r="K12" s="1"/>
      <c r="L12" s="13"/>
    </row>
    <row r="13" spans="1:12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  <c r="L13" s="13"/>
    </row>
    <row r="14" spans="1:12" ht="15" thickBot="1">
      <c r="A14" s="1"/>
      <c r="B14" s="334" t="s">
        <v>3</v>
      </c>
      <c r="C14" s="335"/>
      <c r="D14" s="336"/>
      <c r="E14" s="17">
        <f>SUM(E15:E17)</f>
        <v>116582.82</v>
      </c>
      <c r="F14" s="150"/>
      <c r="G14" s="331" t="s">
        <v>4</v>
      </c>
      <c r="H14" s="332"/>
      <c r="I14" s="332"/>
      <c r="J14" s="332"/>
      <c r="K14" s="333"/>
      <c r="L14" s="19"/>
    </row>
    <row r="15" spans="1:12">
      <c r="A15" s="1"/>
      <c r="B15" s="337" t="s">
        <v>5</v>
      </c>
      <c r="C15" s="338"/>
      <c r="D15" s="339"/>
      <c r="E15" s="20">
        <f>J16+J17+J18+J19</f>
        <v>53778.600000000006</v>
      </c>
      <c r="F15" s="153">
        <f>E15+E16+E17</f>
        <v>116582.82</v>
      </c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23427.510000000002</v>
      </c>
      <c r="F16" s="153">
        <v>90000</v>
      </c>
      <c r="G16" s="22">
        <v>10049.19</v>
      </c>
      <c r="H16" s="23" t="s">
        <v>8</v>
      </c>
      <c r="I16" s="24"/>
      <c r="J16" s="25">
        <v>15477.84</v>
      </c>
      <c r="K16" s="26" t="s">
        <v>9</v>
      </c>
      <c r="L16" s="13"/>
    </row>
    <row r="17" spans="2:11">
      <c r="B17" s="352" t="s">
        <v>6</v>
      </c>
      <c r="C17" s="353"/>
      <c r="D17" s="354"/>
      <c r="E17" s="28">
        <f>G16+G17+G18</f>
        <v>39376.71</v>
      </c>
      <c r="F17" s="153">
        <f>F15-F16</f>
        <v>26582.820000000007</v>
      </c>
      <c r="G17" s="22">
        <v>21230.95</v>
      </c>
      <c r="H17" s="29" t="s">
        <v>10</v>
      </c>
      <c r="I17" s="30"/>
      <c r="J17" s="25">
        <v>12628.81</v>
      </c>
      <c r="K17" s="31" t="s">
        <v>10</v>
      </c>
    </row>
    <row r="18" spans="2:11">
      <c r="B18" s="236" t="s">
        <v>187</v>
      </c>
      <c r="C18" s="237"/>
      <c r="D18" s="238"/>
      <c r="E18" s="28">
        <f>+J22</f>
        <v>0</v>
      </c>
      <c r="F18" s="153"/>
      <c r="G18" s="22">
        <v>8096.57</v>
      </c>
      <c r="H18" s="29" t="s">
        <v>12</v>
      </c>
      <c r="I18" s="30"/>
      <c r="J18" s="25">
        <v>11758.94</v>
      </c>
      <c r="K18" s="31" t="s">
        <v>12</v>
      </c>
    </row>
    <row r="19" spans="2:11">
      <c r="B19" s="379" t="s">
        <v>11</v>
      </c>
      <c r="C19" s="380"/>
      <c r="D19" s="381"/>
      <c r="E19" s="20">
        <f>G29+G31+G30+G28</f>
        <v>7501.7800000000261</v>
      </c>
      <c r="F19" s="153"/>
      <c r="G19" s="33"/>
      <c r="H19" s="34"/>
      <c r="I19" s="30"/>
      <c r="J19" s="25">
        <v>13913.01</v>
      </c>
      <c r="K19" s="31" t="s">
        <v>14</v>
      </c>
    </row>
    <row r="20" spans="2:11">
      <c r="B20" s="344" t="s">
        <v>13</v>
      </c>
      <c r="C20" s="345"/>
      <c r="D20" s="346"/>
      <c r="E20" s="20">
        <v>23098438.93</v>
      </c>
      <c r="F20" s="153"/>
      <c r="G20" s="239"/>
      <c r="H20" s="240"/>
      <c r="I20" s="30"/>
      <c r="J20" s="25"/>
      <c r="K20" s="31"/>
    </row>
    <row r="21" spans="2:11">
      <c r="B21" s="187" t="s">
        <v>15</v>
      </c>
      <c r="C21" s="188"/>
      <c r="D21" s="189"/>
      <c r="E21" s="190">
        <f>SUM(E22:E24)</f>
        <v>0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1">
      <c r="B22" s="187"/>
      <c r="C22" s="188"/>
      <c r="D22" s="198"/>
      <c r="E22" s="190">
        <v>0</v>
      </c>
      <c r="F22" s="153">
        <f>SUM(E25:E31)</f>
        <v>131646.47999999998</v>
      </c>
      <c r="G22" s="44">
        <v>13634.84</v>
      </c>
      <c r="H22" s="29" t="s">
        <v>10</v>
      </c>
      <c r="I22" s="30"/>
      <c r="J22" s="25">
        <v>0</v>
      </c>
      <c r="K22" s="31" t="s">
        <v>188</v>
      </c>
    </row>
    <row r="23" spans="2:11">
      <c r="B23" s="187"/>
      <c r="C23" s="188"/>
      <c r="D23" s="198"/>
      <c r="E23" s="190">
        <v>0</v>
      </c>
      <c r="F23" s="153"/>
      <c r="G23" s="44">
        <v>9792.67</v>
      </c>
      <c r="H23" s="29" t="s">
        <v>18</v>
      </c>
      <c r="I23" s="30"/>
      <c r="J23" s="25"/>
      <c r="K23" s="31"/>
    </row>
    <row r="24" spans="2:11" ht="15" thickBot="1">
      <c r="B24" s="206"/>
      <c r="C24" s="205"/>
      <c r="D24" s="208"/>
      <c r="E24" s="190">
        <v>0</v>
      </c>
      <c r="F24" s="153">
        <f>+F17-F22</f>
        <v>-105063.65999999997</v>
      </c>
      <c r="G24" s="51"/>
      <c r="H24" s="34"/>
      <c r="I24" s="30"/>
      <c r="J24" s="210"/>
      <c r="K24" s="53"/>
    </row>
    <row r="25" spans="2:11" ht="15" thickBot="1">
      <c r="B25" s="46" t="s">
        <v>17</v>
      </c>
      <c r="C25" s="47"/>
      <c r="D25" s="48"/>
      <c r="E25" s="234">
        <v>12514.08</v>
      </c>
      <c r="F25" s="153"/>
      <c r="G25" s="331" t="s">
        <v>21</v>
      </c>
      <c r="H25" s="332"/>
      <c r="I25" s="332"/>
      <c r="J25" s="332"/>
      <c r="K25" s="333"/>
    </row>
    <row r="26" spans="2:11">
      <c r="B26" s="202" t="s">
        <v>163</v>
      </c>
      <c r="C26" s="203"/>
      <c r="D26" s="204"/>
      <c r="E26" s="49">
        <v>119132.4</v>
      </c>
      <c r="F26" s="153"/>
      <c r="G26" s="54"/>
      <c r="H26" s="55"/>
      <c r="I26" s="56"/>
      <c r="J26" s="211"/>
      <c r="K26" s="58"/>
    </row>
    <row r="27" spans="2:11">
      <c r="B27" s="199" t="s">
        <v>22</v>
      </c>
      <c r="C27" s="200"/>
      <c r="D27" s="201"/>
      <c r="E27" s="49">
        <v>0</v>
      </c>
      <c r="F27" s="221"/>
      <c r="G27" s="377" t="s">
        <v>5</v>
      </c>
      <c r="H27" s="378"/>
      <c r="I27" s="59"/>
      <c r="J27" s="60"/>
      <c r="K27" s="45"/>
    </row>
    <row r="28" spans="2:11">
      <c r="B28" s="199" t="s">
        <v>81</v>
      </c>
      <c r="C28" s="200"/>
      <c r="D28" s="201"/>
      <c r="E28" s="49">
        <v>0</v>
      </c>
      <c r="F28" s="219"/>
      <c r="G28" s="22">
        <f>21837.64-11500-8500</f>
        <v>1837.6399999999994</v>
      </c>
      <c r="H28" s="62" t="s">
        <v>9</v>
      </c>
      <c r="I28" s="59"/>
      <c r="J28" s="60"/>
      <c r="K28" s="45"/>
    </row>
    <row r="29" spans="2:11">
      <c r="B29" s="199" t="s">
        <v>24</v>
      </c>
      <c r="C29" s="200"/>
      <c r="D29" s="201"/>
      <c r="E29" s="49">
        <v>0</v>
      </c>
      <c r="F29" s="219"/>
      <c r="G29" s="22">
        <f>154701.26- 154326.09</f>
        <v>375.17000000001281</v>
      </c>
      <c r="H29" s="62" t="s">
        <v>26</v>
      </c>
      <c r="I29" s="63"/>
      <c r="J29" s="64" t="s">
        <v>27</v>
      </c>
      <c r="K29" s="65" t="s">
        <v>28</v>
      </c>
    </row>
    <row r="30" spans="2:11">
      <c r="B30" s="344" t="s">
        <v>25</v>
      </c>
      <c r="C30" s="345"/>
      <c r="D30" s="346"/>
      <c r="E30" s="49">
        <v>0</v>
      </c>
      <c r="F30" s="219"/>
      <c r="G30" s="67">
        <v>1734.83</v>
      </c>
      <c r="H30" s="68" t="s">
        <v>14</v>
      </c>
      <c r="I30" s="63"/>
      <c r="J30" s="64" t="s">
        <v>30</v>
      </c>
      <c r="K30" s="65" t="s">
        <v>31</v>
      </c>
    </row>
    <row r="31" spans="2:11" ht="15" thickBot="1">
      <c r="B31" s="363" t="s">
        <v>29</v>
      </c>
      <c r="C31" s="364"/>
      <c r="D31" s="365"/>
      <c r="E31" s="66">
        <v>0</v>
      </c>
      <c r="F31" s="219"/>
      <c r="G31" s="71">
        <f>7579.67-254025.53+250000</f>
        <v>3554.140000000014</v>
      </c>
      <c r="H31" s="72" t="s">
        <v>12</v>
      </c>
      <c r="I31" s="73"/>
      <c r="J31" s="74" t="s">
        <v>32</v>
      </c>
      <c r="K31" s="75" t="s">
        <v>33</v>
      </c>
    </row>
    <row r="36" spans="5:13" s="61" customFormat="1" ht="15" customHeight="1">
      <c r="E36" s="181" t="s">
        <v>197</v>
      </c>
      <c r="F36" s="222"/>
      <c r="G36" s="8"/>
      <c r="H36" s="9"/>
      <c r="I36" s="8"/>
      <c r="J36" s="9"/>
      <c r="K36" s="82"/>
      <c r="L36" s="86"/>
      <c r="M36" s="8"/>
    </row>
    <row r="37" spans="5:13" s="61" customFormat="1" ht="15" customHeight="1">
      <c r="E37" s="181"/>
      <c r="F37" s="222"/>
      <c r="G37" s="181"/>
      <c r="H37" s="181" t="s">
        <v>199</v>
      </c>
      <c r="I37" s="222"/>
      <c r="J37" s="9"/>
      <c r="K37" s="82"/>
      <c r="L37" s="181" t="s">
        <v>200</v>
      </c>
      <c r="M37" s="222"/>
    </row>
    <row r="38" spans="5:13" s="61" customFormat="1" ht="15" customHeight="1">
      <c r="E38" s="8" t="s">
        <v>34</v>
      </c>
      <c r="F38" s="222">
        <f>F17</f>
        <v>26582.820000000007</v>
      </c>
      <c r="G38" s="86"/>
      <c r="H38" s="181"/>
      <c r="I38" s="222"/>
      <c r="J38" s="9"/>
      <c r="K38" s="82"/>
      <c r="L38" s="181"/>
      <c r="M38" s="222"/>
    </row>
    <row r="39" spans="5:13" s="61" customFormat="1" ht="15" customHeight="1">
      <c r="E39" s="8" t="s">
        <v>35</v>
      </c>
      <c r="F39" s="213">
        <f>+E19</f>
        <v>7501.7800000000261</v>
      </c>
      <c r="G39" s="86"/>
      <c r="H39" s="8" t="s">
        <v>34</v>
      </c>
      <c r="I39" s="222">
        <f>I17</f>
        <v>0</v>
      </c>
      <c r="J39" s="9">
        <f>+F17</f>
        <v>26582.820000000007</v>
      </c>
      <c r="K39" s="112"/>
      <c r="L39" s="8" t="s">
        <v>34</v>
      </c>
      <c r="M39" s="222">
        <f>+F17</f>
        <v>26582.820000000007</v>
      </c>
    </row>
    <row r="40" spans="5:13" s="61" customFormat="1" ht="15" customHeight="1">
      <c r="E40" s="8" t="s">
        <v>36</v>
      </c>
      <c r="F40" s="222">
        <f>495000-325000-85000</f>
        <v>85000</v>
      </c>
      <c r="G40" s="86"/>
      <c r="H40" s="8" t="s">
        <v>35</v>
      </c>
      <c r="I40" s="213">
        <f>+H19</f>
        <v>0</v>
      </c>
      <c r="J40" s="9">
        <v>0</v>
      </c>
      <c r="K40" s="113"/>
      <c r="L40" s="8" t="s">
        <v>35</v>
      </c>
      <c r="M40" s="222">
        <v>0</v>
      </c>
    </row>
    <row r="41" spans="5:13" s="61" customFormat="1" ht="15" customHeight="1">
      <c r="E41" s="8" t="s">
        <v>37</v>
      </c>
      <c r="F41" s="222">
        <v>410000</v>
      </c>
      <c r="G41" s="9"/>
      <c r="H41" s="8" t="s">
        <v>36</v>
      </c>
      <c r="I41" s="222">
        <f>495000-325000</f>
        <v>170000</v>
      </c>
      <c r="J41" s="9">
        <v>0</v>
      </c>
      <c r="K41" s="8"/>
      <c r="L41" s="8" t="s">
        <v>36</v>
      </c>
      <c r="M41" s="222">
        <v>0</v>
      </c>
    </row>
    <row r="42" spans="5:13" s="61" customFormat="1" ht="15" customHeight="1">
      <c r="E42" s="182" t="s">
        <v>38</v>
      </c>
      <c r="F42" s="223">
        <f>SUM(F38:F41)</f>
        <v>529084.60000000009</v>
      </c>
      <c r="G42" s="9"/>
      <c r="H42" s="8" t="s">
        <v>37</v>
      </c>
      <c r="I42" s="222">
        <v>0</v>
      </c>
      <c r="J42" s="9">
        <v>3800000</v>
      </c>
      <c r="K42" s="8"/>
      <c r="L42" s="8" t="s">
        <v>37</v>
      </c>
      <c r="M42" s="222">
        <v>0</v>
      </c>
    </row>
    <row r="43" spans="5:13" s="61" customFormat="1" ht="15" customHeight="1">
      <c r="E43" s="183"/>
      <c r="F43" s="224"/>
      <c r="G43" s="9"/>
      <c r="H43" s="182" t="s">
        <v>38</v>
      </c>
      <c r="I43" s="223">
        <f>SUM(I39:I42)</f>
        <v>170000</v>
      </c>
      <c r="J43" s="9">
        <f>SUM(J39:J42)</f>
        <v>3826582.82</v>
      </c>
      <c r="K43" s="8"/>
      <c r="L43" s="182" t="s">
        <v>38</v>
      </c>
      <c r="M43" s="223">
        <f>SUM(M39:M42)</f>
        <v>26582.820000000007</v>
      </c>
    </row>
    <row r="44" spans="5:13" s="61" customFormat="1" ht="15" customHeight="1">
      <c r="E44" s="183" t="s">
        <v>152</v>
      </c>
      <c r="F44" s="224">
        <v>135000</v>
      </c>
      <c r="G44" s="9"/>
      <c r="H44" s="183"/>
      <c r="I44" s="224"/>
      <c r="J44" s="9"/>
      <c r="K44" s="8"/>
      <c r="L44" s="183"/>
      <c r="M44" s="224"/>
    </row>
    <row r="45" spans="5:13" s="61" customFormat="1" ht="15" customHeight="1">
      <c r="E45" s="183" t="s">
        <v>69</v>
      </c>
      <c r="F45" s="224">
        <v>0</v>
      </c>
      <c r="G45" s="9"/>
      <c r="H45" s="183" t="s">
        <v>152</v>
      </c>
      <c r="I45" s="224">
        <v>135000</v>
      </c>
      <c r="J45" s="9">
        <v>135000</v>
      </c>
      <c r="K45" s="8"/>
      <c r="L45" s="183" t="s">
        <v>152</v>
      </c>
      <c r="M45" s="224">
        <v>135000</v>
      </c>
    </row>
    <row r="46" spans="5:13" s="61" customFormat="1" ht="15" customHeight="1">
      <c r="E46" s="183" t="s">
        <v>80</v>
      </c>
      <c r="F46" s="224">
        <v>0</v>
      </c>
      <c r="G46" s="9"/>
      <c r="H46" s="116" t="s">
        <v>50</v>
      </c>
      <c r="I46" s="220">
        <f>150000-90000</f>
        <v>60000</v>
      </c>
      <c r="J46" s="9">
        <v>70000</v>
      </c>
      <c r="K46" s="8"/>
      <c r="L46" s="183" t="s">
        <v>69</v>
      </c>
      <c r="M46" s="224">
        <v>60000</v>
      </c>
    </row>
    <row r="47" spans="5:13" s="61" customFormat="1">
      <c r="E47" s="183" t="s">
        <v>81</v>
      </c>
      <c r="F47" s="224">
        <v>850000</v>
      </c>
      <c r="G47" s="8"/>
      <c r="H47" s="116" t="s">
        <v>24</v>
      </c>
      <c r="I47" s="220">
        <v>0</v>
      </c>
      <c r="J47" s="9">
        <f>100000+15000+65000+220000</f>
        <v>400000</v>
      </c>
      <c r="K47" s="8"/>
      <c r="L47" s="183" t="s">
        <v>201</v>
      </c>
      <c r="M47" s="224">
        <v>1350000</v>
      </c>
    </row>
    <row r="48" spans="5:13" s="61" customFormat="1">
      <c r="E48" s="116" t="s">
        <v>24</v>
      </c>
      <c r="F48" s="220">
        <v>0</v>
      </c>
      <c r="G48" s="8"/>
      <c r="H48" s="116" t="s">
        <v>22</v>
      </c>
      <c r="I48" s="220">
        <f>170000-45000</f>
        <v>125000</v>
      </c>
      <c r="J48" s="9">
        <v>50000</v>
      </c>
      <c r="K48" s="8"/>
      <c r="L48" s="183" t="s">
        <v>202</v>
      </c>
      <c r="M48" s="224">
        <v>90000</v>
      </c>
    </row>
    <row r="49" spans="4:13" s="61" customFormat="1">
      <c r="D49" s="82"/>
      <c r="E49" s="116" t="s">
        <v>198</v>
      </c>
      <c r="F49" s="220">
        <v>0</v>
      </c>
      <c r="G49" s="8"/>
      <c r="H49" s="116" t="s">
        <v>40</v>
      </c>
      <c r="I49" s="225">
        <f>SUM(I45:I48)</f>
        <v>320000</v>
      </c>
      <c r="J49" s="9">
        <v>70000</v>
      </c>
      <c r="K49" s="8"/>
      <c r="L49" s="116" t="s">
        <v>24</v>
      </c>
      <c r="M49" s="220">
        <v>80000</v>
      </c>
    </row>
    <row r="50" spans="4:13" s="61" customFormat="1">
      <c r="D50" s="8"/>
      <c r="E50" s="116" t="s">
        <v>22</v>
      </c>
      <c r="F50" s="220">
        <f>150000-90000</f>
        <v>60000</v>
      </c>
      <c r="G50" s="8"/>
      <c r="H50" s="118" t="s">
        <v>41</v>
      </c>
      <c r="I50" s="225">
        <f>I43-I49</f>
        <v>-150000</v>
      </c>
      <c r="J50" s="263">
        <f>SUM(J45:J49)</f>
        <v>725000</v>
      </c>
      <c r="K50" s="8"/>
      <c r="L50" s="116" t="s">
        <v>50</v>
      </c>
      <c r="M50" s="220">
        <f>150000-90000</f>
        <v>60000</v>
      </c>
    </row>
    <row r="51" spans="4:13" s="61" customFormat="1">
      <c r="D51" s="8"/>
      <c r="E51" s="116" t="s">
        <v>40</v>
      </c>
      <c r="F51" s="220">
        <f>170000-45000</f>
        <v>125000</v>
      </c>
      <c r="G51" s="8"/>
      <c r="H51" s="118" t="s">
        <v>42</v>
      </c>
      <c r="I51" s="221"/>
      <c r="J51" s="263">
        <f>+J43-J50</f>
        <v>3101582.82</v>
      </c>
      <c r="K51" s="8"/>
      <c r="L51" s="116" t="s">
        <v>22</v>
      </c>
      <c r="M51" s="220">
        <v>50000</v>
      </c>
    </row>
    <row r="52" spans="4:13" s="61" customFormat="1">
      <c r="D52" s="8"/>
      <c r="E52" s="118" t="s">
        <v>41</v>
      </c>
      <c r="F52" s="225">
        <f>SUM(F44:F51)</f>
        <v>1170000</v>
      </c>
      <c r="G52" s="8"/>
      <c r="H52" s="82"/>
      <c r="I52" s="221">
        <f>43800+180000</f>
        <v>223800</v>
      </c>
      <c r="J52" s="9"/>
      <c r="K52" s="8"/>
      <c r="L52" s="116" t="s">
        <v>40</v>
      </c>
      <c r="M52" s="226">
        <v>150000</v>
      </c>
    </row>
    <row r="53" spans="4:13" s="61" customFormat="1">
      <c r="D53" s="8"/>
      <c r="E53" s="118" t="s">
        <v>42</v>
      </c>
      <c r="F53" s="225">
        <f>F42-F52</f>
        <v>-640915.39999999991</v>
      </c>
      <c r="G53" s="8"/>
      <c r="H53" s="82"/>
      <c r="I53" s="221">
        <f>100000+350000-20000-40000+165000+10000-200000</f>
        <v>365000</v>
      </c>
      <c r="J53" s="9"/>
      <c r="K53" s="8"/>
      <c r="L53" s="183" t="s">
        <v>105</v>
      </c>
      <c r="M53" s="220">
        <v>95000</v>
      </c>
    </row>
    <row r="54" spans="4:13" s="61" customFormat="1">
      <c r="D54" s="8"/>
      <c r="E54" s="82"/>
      <c r="F54" s="221"/>
      <c r="G54" s="8"/>
      <c r="H54" s="82"/>
      <c r="I54" s="226"/>
      <c r="J54" s="9"/>
      <c r="K54" s="8"/>
      <c r="L54" s="116" t="s">
        <v>53</v>
      </c>
      <c r="M54" s="226">
        <v>185000</v>
      </c>
    </row>
    <row r="55" spans="4:13" s="61" customFormat="1">
      <c r="D55" s="8"/>
      <c r="E55" s="82"/>
      <c r="F55" s="221"/>
      <c r="G55" s="82"/>
      <c r="H55" s="82"/>
      <c r="I55" s="227"/>
      <c r="J55" s="9"/>
      <c r="K55" s="8"/>
      <c r="L55" s="116" t="s">
        <v>116</v>
      </c>
      <c r="M55" s="226">
        <v>30000</v>
      </c>
    </row>
    <row r="56" spans="4:13" s="61" customFormat="1">
      <c r="D56" s="8"/>
      <c r="E56" s="82"/>
      <c r="F56" s="221"/>
      <c r="G56" s="82"/>
      <c r="H56" s="118"/>
      <c r="I56" s="221"/>
      <c r="J56" s="9"/>
      <c r="K56" s="8"/>
      <c r="L56" s="118" t="s">
        <v>41</v>
      </c>
      <c r="M56" s="225">
        <f>SUM(M45:M55)</f>
        <v>2285000</v>
      </c>
    </row>
    <row r="57" spans="4:13" s="61" customFormat="1">
      <c r="D57" s="8"/>
      <c r="E57" s="82"/>
      <c r="F57" s="226"/>
      <c r="G57" s="82"/>
      <c r="H57" s="82"/>
      <c r="I57" s="227"/>
      <c r="J57" s="9"/>
      <c r="K57" s="8"/>
      <c r="L57" s="118" t="s">
        <v>42</v>
      </c>
      <c r="M57" s="227">
        <f>+M43-M56</f>
        <v>-2258417.1800000002</v>
      </c>
    </row>
    <row r="58" spans="4:13" s="61" customFormat="1">
      <c r="D58" s="8"/>
      <c r="E58" s="118"/>
      <c r="F58" s="227"/>
      <c r="G58" s="82"/>
      <c r="H58" s="118"/>
      <c r="I58" s="220"/>
      <c r="J58" s="9"/>
      <c r="K58" s="8"/>
      <c r="L58" s="82"/>
      <c r="M58" s="221"/>
    </row>
    <row r="59" spans="4:13">
      <c r="D59" s="8"/>
      <c r="E59" s="82"/>
      <c r="F59" s="221"/>
      <c r="G59" s="82"/>
      <c r="H59" s="8"/>
      <c r="I59" s="8"/>
      <c r="J59" s="9"/>
      <c r="K59" s="8"/>
      <c r="L59" s="82"/>
      <c r="M59" s="221"/>
    </row>
    <row r="60" spans="4:13">
      <c r="D60" s="8"/>
      <c r="E60" s="118"/>
      <c r="F60" s="227"/>
      <c r="G60" s="8"/>
      <c r="H60" s="8"/>
      <c r="I60" s="8"/>
      <c r="J60" s="9"/>
      <c r="K60" s="8"/>
      <c r="L60" s="82"/>
      <c r="M60" s="226"/>
    </row>
    <row r="61" spans="4:13">
      <c r="D61" s="8"/>
      <c r="E61" s="8"/>
      <c r="F61" s="220"/>
      <c r="G61" s="8"/>
      <c r="H61" s="8"/>
      <c r="I61" s="8"/>
      <c r="J61" s="9"/>
      <c r="K61" s="8"/>
      <c r="L61" s="82"/>
      <c r="M61" s="227"/>
    </row>
    <row r="62" spans="4:13">
      <c r="D62" s="8"/>
      <c r="E62" s="8"/>
      <c r="F62" s="220"/>
      <c r="G62" s="8"/>
      <c r="H62" s="8"/>
      <c r="I62" s="8"/>
      <c r="J62" s="9"/>
      <c r="K62" s="8"/>
      <c r="L62" s="118"/>
      <c r="M62" s="221"/>
    </row>
    <row r="63" spans="4:13">
      <c r="D63" s="383" t="s">
        <v>192</v>
      </c>
      <c r="E63" s="383"/>
      <c r="F63" s="383"/>
      <c r="G63" s="8"/>
      <c r="H63" s="8"/>
      <c r="I63" s="8"/>
      <c r="J63" s="9"/>
      <c r="K63" s="8"/>
      <c r="L63" s="82"/>
      <c r="M63" s="227"/>
    </row>
    <row r="64" spans="4:13">
      <c r="D64" s="247" t="s">
        <v>194</v>
      </c>
      <c r="E64" s="247" t="s">
        <v>193</v>
      </c>
      <c r="F64" s="248" t="s">
        <v>24</v>
      </c>
      <c r="G64" s="8"/>
      <c r="H64" s="8"/>
      <c r="I64" s="8"/>
      <c r="J64" s="9"/>
      <c r="K64" s="8"/>
      <c r="L64" s="118"/>
      <c r="M64" s="220"/>
    </row>
    <row r="65" spans="4:7">
      <c r="D65" s="8" t="s">
        <v>9</v>
      </c>
      <c r="E65" s="249">
        <v>0</v>
      </c>
      <c r="F65" s="250">
        <v>20000</v>
      </c>
      <c r="G65" s="8"/>
    </row>
    <row r="66" spans="4:7">
      <c r="D66" s="8" t="s">
        <v>195</v>
      </c>
      <c r="E66" s="249">
        <v>125838.99076255714</v>
      </c>
      <c r="F66" s="250">
        <v>28487.100420091323</v>
      </c>
      <c r="G66" s="8"/>
    </row>
    <row r="67" spans="4:7">
      <c r="D67" s="8" t="s">
        <v>188</v>
      </c>
      <c r="E67" s="249">
        <f>254025.53-250000</f>
        <v>4025.5299999999988</v>
      </c>
      <c r="F67" s="250"/>
      <c r="G67" s="124">
        <f>SUM(E68:F68)</f>
        <v>178351.62118264847</v>
      </c>
    </row>
    <row r="68" spans="4:7">
      <c r="D68" s="8"/>
      <c r="E68" s="124">
        <f>SUM(E65:E67)</f>
        <v>129864.52076255713</v>
      </c>
      <c r="F68" s="250">
        <f>SUM(F65:F67)</f>
        <v>48487.100420091323</v>
      </c>
      <c r="G68" s="8"/>
    </row>
  </sheetData>
  <mergeCells count="17">
    <mergeCell ref="G27:H27"/>
    <mergeCell ref="B30:D30"/>
    <mergeCell ref="B31:D31"/>
    <mergeCell ref="D63:F63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B9D1B-76D6-4B0F-9A37-337273AB78B8}">
  <dimension ref="A6:M70"/>
  <sheetViews>
    <sheetView showGridLines="0" topLeftCell="A6" workbookViewId="0">
      <selection activeCell="A6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2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2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2" ht="15" thickBot="1">
      <c r="A14" s="1"/>
      <c r="B14" s="334" t="s">
        <v>3</v>
      </c>
      <c r="C14" s="335"/>
      <c r="D14" s="336"/>
      <c r="E14" s="17">
        <f>SUM(E15:E17)</f>
        <v>810925.67999999993</v>
      </c>
      <c r="F14" s="153"/>
      <c r="G14" s="331" t="s">
        <v>4</v>
      </c>
      <c r="H14" s="332"/>
      <c r="I14" s="332"/>
      <c r="J14" s="332"/>
      <c r="K14" s="333"/>
      <c r="L14" s="19"/>
    </row>
    <row r="15" spans="1:12">
      <c r="A15" s="1"/>
      <c r="B15" s="337" t="s">
        <v>5</v>
      </c>
      <c r="C15" s="338"/>
      <c r="D15" s="339"/>
      <c r="E15" s="20">
        <f>J16+J17+J18+J19</f>
        <v>757884.08</v>
      </c>
      <c r="F15" s="153">
        <f>E15+E16+E17</f>
        <v>810925.67999999993</v>
      </c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20737.71</v>
      </c>
      <c r="F16" s="153">
        <v>90000</v>
      </c>
      <c r="G16" s="22">
        <v>10049.19</v>
      </c>
      <c r="H16" s="23" t="s">
        <v>8</v>
      </c>
      <c r="I16" s="24"/>
      <c r="J16" s="25">
        <v>51538.61</v>
      </c>
      <c r="K16" s="26" t="s">
        <v>9</v>
      </c>
      <c r="L16" s="13"/>
    </row>
    <row r="17" spans="2:11">
      <c r="B17" s="352" t="s">
        <v>6</v>
      </c>
      <c r="C17" s="353"/>
      <c r="D17" s="354"/>
      <c r="E17" s="28">
        <f>G16+G17+G18</f>
        <v>32303.89</v>
      </c>
      <c r="F17" s="153">
        <f>F15-F16</f>
        <v>720925.67999999993</v>
      </c>
      <c r="G17" s="22">
        <v>13445.13</v>
      </c>
      <c r="H17" s="29" t="s">
        <v>10</v>
      </c>
      <c r="I17" s="30"/>
      <c r="J17" s="25">
        <v>366898.89</v>
      </c>
      <c r="K17" s="31" t="s">
        <v>10</v>
      </c>
    </row>
    <row r="18" spans="2:11">
      <c r="B18" s="236" t="s">
        <v>187</v>
      </c>
      <c r="C18" s="237"/>
      <c r="D18" s="238"/>
      <c r="E18" s="28">
        <f>+J22</f>
        <v>0</v>
      </c>
      <c r="F18" s="153"/>
      <c r="G18" s="22">
        <v>8809.57</v>
      </c>
      <c r="H18" s="29" t="s">
        <v>12</v>
      </c>
      <c r="I18" s="30"/>
      <c r="J18" s="25">
        <v>188615.34</v>
      </c>
      <c r="K18" s="31" t="s">
        <v>12</v>
      </c>
    </row>
    <row r="19" spans="2:11">
      <c r="B19" s="379" t="s">
        <v>11</v>
      </c>
      <c r="C19" s="380"/>
      <c r="D19" s="381"/>
      <c r="E19" s="20">
        <f>G29+G31+G30+G28</f>
        <v>7530.0900000000174</v>
      </c>
      <c r="F19" s="153"/>
      <c r="G19" s="33"/>
      <c r="H19" s="34"/>
      <c r="I19" s="30"/>
      <c r="J19" s="25">
        <v>150831.24</v>
      </c>
      <c r="K19" s="31" t="s">
        <v>14</v>
      </c>
    </row>
    <row r="20" spans="2:11">
      <c r="B20" s="344" t="s">
        <v>13</v>
      </c>
      <c r="C20" s="345"/>
      <c r="D20" s="346"/>
      <c r="E20" s="20">
        <v>22888175.609999999</v>
      </c>
      <c r="F20" s="153"/>
      <c r="G20" s="239"/>
      <c r="H20" s="240"/>
      <c r="I20" s="30"/>
      <c r="J20" s="25"/>
      <c r="K20" s="31"/>
    </row>
    <row r="21" spans="2:11">
      <c r="B21" s="187" t="s">
        <v>15</v>
      </c>
      <c r="C21" s="188"/>
      <c r="D21" s="189"/>
      <c r="E21" s="190">
        <f>SUM(E22:E24)</f>
        <v>0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1">
      <c r="B22" s="187"/>
      <c r="C22" s="188"/>
      <c r="D22" s="198"/>
      <c r="E22" s="190">
        <v>0</v>
      </c>
      <c r="F22" s="153">
        <f>SUM(E25:E31)</f>
        <v>23779.5</v>
      </c>
      <c r="G22" s="44">
        <v>10945.04</v>
      </c>
      <c r="H22" s="29" t="s">
        <v>10</v>
      </c>
      <c r="I22" s="30"/>
      <c r="J22" s="25">
        <v>0</v>
      </c>
      <c r="K22" s="31" t="s">
        <v>188</v>
      </c>
    </row>
    <row r="23" spans="2:11">
      <c r="B23" s="187"/>
      <c r="C23" s="188"/>
      <c r="D23" s="198"/>
      <c r="E23" s="190">
        <v>0</v>
      </c>
      <c r="F23" s="153"/>
      <c r="G23" s="44">
        <v>9792.67</v>
      </c>
      <c r="H23" s="29" t="s">
        <v>18</v>
      </c>
      <c r="I23" s="30"/>
      <c r="J23" s="25"/>
      <c r="K23" s="31"/>
    </row>
    <row r="24" spans="2:11" ht="15" thickBot="1">
      <c r="B24" s="206"/>
      <c r="C24" s="205"/>
      <c r="D24" s="208"/>
      <c r="E24" s="190">
        <v>0</v>
      </c>
      <c r="F24" s="153">
        <f>+F17-F22</f>
        <v>697146.17999999993</v>
      </c>
      <c r="G24" s="51"/>
      <c r="H24" s="34"/>
      <c r="I24" s="30"/>
      <c r="J24" s="210"/>
      <c r="K24" s="53"/>
    </row>
    <row r="25" spans="2:11" ht="15" thickBot="1">
      <c r="B25" s="46" t="s">
        <v>17</v>
      </c>
      <c r="C25" s="47"/>
      <c r="D25" s="48"/>
      <c r="E25" s="234">
        <v>23779.5</v>
      </c>
      <c r="F25" s="153"/>
      <c r="G25" s="331" t="s">
        <v>21</v>
      </c>
      <c r="H25" s="332"/>
      <c r="I25" s="332"/>
      <c r="J25" s="332"/>
      <c r="K25" s="333"/>
    </row>
    <row r="26" spans="2:11">
      <c r="B26" s="202" t="s">
        <v>163</v>
      </c>
      <c r="C26" s="203"/>
      <c r="D26" s="204"/>
      <c r="E26" s="49">
        <v>0</v>
      </c>
      <c r="F26" s="153"/>
      <c r="G26" s="54"/>
      <c r="H26" s="55"/>
      <c r="I26" s="56"/>
      <c r="J26" s="211"/>
      <c r="K26" s="58"/>
    </row>
    <row r="27" spans="2:11">
      <c r="B27" s="199" t="s">
        <v>22</v>
      </c>
      <c r="C27" s="200"/>
      <c r="D27" s="201"/>
      <c r="E27" s="49">
        <v>0</v>
      </c>
      <c r="F27" s="221"/>
      <c r="G27" s="377" t="s">
        <v>5</v>
      </c>
      <c r="H27" s="378"/>
      <c r="I27" s="59"/>
      <c r="J27" s="60"/>
      <c r="K27" s="45"/>
    </row>
    <row r="28" spans="2:11">
      <c r="B28" s="199" t="s">
        <v>81</v>
      </c>
      <c r="C28" s="200"/>
      <c r="D28" s="201"/>
      <c r="E28" s="49">
        <v>0</v>
      </c>
      <c r="F28" s="220"/>
      <c r="G28" s="22">
        <f>21845.78-11500-8500</f>
        <v>1845.7799999999988</v>
      </c>
      <c r="H28" s="62" t="s">
        <v>9</v>
      </c>
      <c r="I28" s="59"/>
      <c r="J28" s="60"/>
      <c r="K28" s="45"/>
    </row>
    <row r="29" spans="2:11">
      <c r="B29" s="199" t="s">
        <v>24</v>
      </c>
      <c r="C29" s="200"/>
      <c r="D29" s="201"/>
      <c r="E29" s="49">
        <v>0</v>
      </c>
      <c r="F29" s="219"/>
      <c r="G29" s="22">
        <f>29709.6- 154326.09+125000</f>
        <v>383.51000000000931</v>
      </c>
      <c r="H29" s="62" t="s">
        <v>26</v>
      </c>
      <c r="I29" s="63"/>
      <c r="J29" s="64" t="s">
        <v>27</v>
      </c>
      <c r="K29" s="65" t="s">
        <v>28</v>
      </c>
    </row>
    <row r="30" spans="2:11">
      <c r="B30" s="344" t="s">
        <v>25</v>
      </c>
      <c r="C30" s="345"/>
      <c r="D30" s="346"/>
      <c r="E30" s="49">
        <v>0</v>
      </c>
      <c r="F30" s="219"/>
      <c r="G30" s="67">
        <v>1736.54</v>
      </c>
      <c r="H30" s="68" t="s">
        <v>14</v>
      </c>
      <c r="I30" s="63"/>
      <c r="J30" s="64" t="s">
        <v>30</v>
      </c>
      <c r="K30" s="65" t="s">
        <v>31</v>
      </c>
    </row>
    <row r="31" spans="2:11" ht="15" thickBot="1">
      <c r="B31" s="363" t="s">
        <v>29</v>
      </c>
      <c r="C31" s="364"/>
      <c r="D31" s="365"/>
      <c r="E31" s="66">
        <v>0</v>
      </c>
      <c r="F31" s="219"/>
      <c r="G31" s="71">
        <f>7589.79-254025.53+250000</f>
        <v>3564.2600000000093</v>
      </c>
      <c r="H31" s="72" t="s">
        <v>12</v>
      </c>
      <c r="I31" s="73"/>
      <c r="J31" s="74" t="s">
        <v>32</v>
      </c>
      <c r="K31" s="75" t="s">
        <v>33</v>
      </c>
    </row>
    <row r="36" spans="5:13" s="61" customFormat="1" ht="15" customHeight="1">
      <c r="E36" s="252" t="s">
        <v>199</v>
      </c>
      <c r="F36" s="253"/>
      <c r="G36" s="8"/>
      <c r="H36" s="9"/>
      <c r="I36" s="8"/>
      <c r="J36" s="9"/>
      <c r="K36" s="82"/>
      <c r="L36" s="86"/>
      <c r="M36" s="8"/>
    </row>
    <row r="37" spans="5:13" s="61" customFormat="1" ht="15" customHeight="1">
      <c r="E37" s="252"/>
      <c r="F37" s="253"/>
      <c r="G37" s="181"/>
      <c r="H37" s="181"/>
      <c r="I37" s="222"/>
      <c r="J37" s="9"/>
      <c r="K37" s="82"/>
      <c r="L37" s="181" t="s">
        <v>200</v>
      </c>
      <c r="M37" s="222"/>
    </row>
    <row r="38" spans="5:13" s="61" customFormat="1" ht="15" customHeight="1">
      <c r="E38" s="79" t="s">
        <v>34</v>
      </c>
      <c r="F38" s="253">
        <f>F17</f>
        <v>720925.67999999993</v>
      </c>
      <c r="G38" s="86"/>
      <c r="H38" s="181"/>
      <c r="I38" s="222"/>
      <c r="J38" s="9"/>
      <c r="K38" s="82"/>
      <c r="L38" s="181"/>
      <c r="M38" s="222"/>
    </row>
    <row r="39" spans="5:13" s="61" customFormat="1" ht="15" customHeight="1">
      <c r="E39" s="79" t="s">
        <v>35</v>
      </c>
      <c r="F39" s="253">
        <f>+E19</f>
        <v>7530.0900000000174</v>
      </c>
      <c r="G39" s="86"/>
      <c r="H39" s="8"/>
      <c r="I39" s="222"/>
      <c r="J39" s="9"/>
      <c r="K39" s="112"/>
      <c r="L39" s="8" t="s">
        <v>34</v>
      </c>
      <c r="M39" s="222">
        <f>+F17</f>
        <v>720925.67999999993</v>
      </c>
    </row>
    <row r="40" spans="5:13" s="61" customFormat="1" ht="15" customHeight="1">
      <c r="E40" s="79" t="s">
        <v>36</v>
      </c>
      <c r="F40" s="253">
        <f>495000-325000-85000</f>
        <v>85000</v>
      </c>
      <c r="G40" s="86"/>
      <c r="H40" s="8"/>
      <c r="I40" s="213"/>
      <c r="J40" s="9"/>
      <c r="K40" s="113"/>
      <c r="L40" s="8" t="s">
        <v>35</v>
      </c>
      <c r="M40" s="222">
        <v>0</v>
      </c>
    </row>
    <row r="41" spans="5:13" s="61" customFormat="1" ht="15" customHeight="1">
      <c r="E41" s="79" t="s">
        <v>37</v>
      </c>
      <c r="F41" s="253">
        <v>0</v>
      </c>
      <c r="G41" s="9"/>
      <c r="H41" s="8"/>
      <c r="I41" s="222"/>
      <c r="J41" s="9"/>
      <c r="K41" s="8"/>
      <c r="L41" s="8" t="s">
        <v>36</v>
      </c>
      <c r="M41" s="222">
        <v>0</v>
      </c>
    </row>
    <row r="42" spans="5:13" s="61" customFormat="1" ht="15" customHeight="1">
      <c r="E42" s="255" t="s">
        <v>38</v>
      </c>
      <c r="F42" s="256">
        <f>SUM(F38:F41)</f>
        <v>813455.7699999999</v>
      </c>
      <c r="G42" s="9"/>
      <c r="H42" s="8"/>
      <c r="I42" s="222"/>
      <c r="J42" s="9"/>
      <c r="K42" s="8"/>
      <c r="L42" s="8" t="s">
        <v>37</v>
      </c>
      <c r="M42" s="222">
        <v>0</v>
      </c>
    </row>
    <row r="43" spans="5:13" s="61" customFormat="1" ht="15" customHeight="1">
      <c r="E43" s="257"/>
      <c r="F43" s="258"/>
      <c r="G43" s="9"/>
      <c r="H43" s="182"/>
      <c r="I43" s="223"/>
      <c r="J43" s="9"/>
      <c r="K43" s="8"/>
      <c r="L43" s="182" t="s">
        <v>38</v>
      </c>
      <c r="M43" s="223">
        <f>SUM(M39:M42)</f>
        <v>720925.67999999993</v>
      </c>
    </row>
    <row r="44" spans="5:13" s="61" customFormat="1" ht="15" customHeight="1">
      <c r="E44" s="257" t="s">
        <v>152</v>
      </c>
      <c r="F44" s="147">
        <v>135000</v>
      </c>
      <c r="G44" s="9"/>
      <c r="H44" s="183"/>
      <c r="I44" s="224"/>
      <c r="J44" s="9"/>
      <c r="K44" s="8"/>
      <c r="L44" s="183"/>
      <c r="M44" s="224"/>
    </row>
    <row r="45" spans="5:13" s="61" customFormat="1" ht="15" customHeight="1">
      <c r="E45" s="257" t="s">
        <v>50</v>
      </c>
      <c r="F45" s="147">
        <v>70000</v>
      </c>
      <c r="G45" s="9"/>
      <c r="H45" s="183"/>
      <c r="I45" s="224"/>
      <c r="J45" s="9"/>
      <c r="K45" s="8"/>
      <c r="L45" s="183" t="s">
        <v>152</v>
      </c>
      <c r="M45" s="224">
        <v>135000</v>
      </c>
    </row>
    <row r="46" spans="5:13" s="61" customFormat="1" ht="15" customHeight="1">
      <c r="E46" s="257" t="s">
        <v>81</v>
      </c>
      <c r="F46" s="258">
        <v>350000</v>
      </c>
      <c r="G46" s="9"/>
      <c r="H46" s="116"/>
      <c r="I46" s="220"/>
      <c r="J46" s="9"/>
      <c r="K46" s="8"/>
      <c r="L46" s="183" t="s">
        <v>69</v>
      </c>
      <c r="M46" s="224">
        <v>60000</v>
      </c>
    </row>
    <row r="47" spans="5:13" s="61" customFormat="1">
      <c r="E47" s="137" t="s">
        <v>24</v>
      </c>
      <c r="F47" s="218">
        <v>0</v>
      </c>
      <c r="G47" s="8"/>
      <c r="H47" s="116"/>
      <c r="I47" s="220"/>
      <c r="J47" s="9"/>
      <c r="K47" s="8"/>
      <c r="L47" s="183" t="s">
        <v>201</v>
      </c>
      <c r="M47" s="224">
        <v>1350000</v>
      </c>
    </row>
    <row r="48" spans="5:13" s="61" customFormat="1">
      <c r="E48" s="137" t="s">
        <v>22</v>
      </c>
      <c r="F48" s="147">
        <v>50000</v>
      </c>
      <c r="G48" s="8"/>
      <c r="H48" s="116"/>
      <c r="I48" s="220"/>
      <c r="J48" s="9"/>
      <c r="K48" s="8"/>
      <c r="L48" s="183" t="s">
        <v>202</v>
      </c>
      <c r="M48" s="224">
        <v>90000</v>
      </c>
    </row>
    <row r="49" spans="5:13" s="61" customFormat="1">
      <c r="E49" s="137" t="s">
        <v>40</v>
      </c>
      <c r="F49" s="147">
        <v>70000</v>
      </c>
      <c r="G49" s="8"/>
      <c r="H49" s="116"/>
      <c r="I49" s="225"/>
      <c r="J49" s="9"/>
      <c r="K49" s="8"/>
      <c r="L49" s="116" t="s">
        <v>24</v>
      </c>
      <c r="M49" s="220">
        <v>80000</v>
      </c>
    </row>
    <row r="50" spans="5:13" s="61" customFormat="1">
      <c r="E50" s="139" t="s">
        <v>41</v>
      </c>
      <c r="F50" s="259">
        <f>SUM(F44:F49)</f>
        <v>675000</v>
      </c>
      <c r="G50" s="8"/>
      <c r="H50" s="118"/>
      <c r="I50" s="225"/>
      <c r="J50" s="263"/>
      <c r="K50" s="8"/>
      <c r="L50" s="116" t="s">
        <v>50</v>
      </c>
      <c r="M50" s="220">
        <f>150000-90000</f>
        <v>60000</v>
      </c>
    </row>
    <row r="51" spans="5:13" s="61" customFormat="1">
      <c r="E51" s="139" t="s">
        <v>42</v>
      </c>
      <c r="F51" s="259">
        <f>F42-F50</f>
        <v>138455.7699999999</v>
      </c>
      <c r="G51" s="8"/>
      <c r="H51" s="118"/>
      <c r="I51" s="221"/>
      <c r="J51" s="263"/>
      <c r="K51" s="8"/>
      <c r="L51" s="116" t="s">
        <v>22</v>
      </c>
      <c r="M51" s="220">
        <v>50000</v>
      </c>
    </row>
    <row r="52" spans="5:13" s="61" customFormat="1">
      <c r="E52" s="79"/>
      <c r="F52" s="147"/>
      <c r="G52" s="8"/>
      <c r="H52" s="82"/>
      <c r="I52" s="221"/>
      <c r="J52" s="9"/>
      <c r="K52" s="8"/>
      <c r="L52" s="116" t="s">
        <v>40</v>
      </c>
      <c r="M52" s="226">
        <v>150000</v>
      </c>
    </row>
    <row r="53" spans="5:13" s="61" customFormat="1">
      <c r="E53" s="129" t="s">
        <v>43</v>
      </c>
      <c r="F53" s="265">
        <f>43800+180000</f>
        <v>223800</v>
      </c>
      <c r="G53" s="8"/>
      <c r="H53" s="82"/>
      <c r="I53" s="221"/>
      <c r="J53" s="9"/>
      <c r="K53" s="8"/>
      <c r="L53" s="183" t="s">
        <v>105</v>
      </c>
      <c r="M53" s="220">
        <v>95000</v>
      </c>
    </row>
    <row r="54" spans="5:13" s="61" customFormat="1">
      <c r="E54" s="129" t="s">
        <v>44</v>
      </c>
      <c r="F54" s="265">
        <v>365000</v>
      </c>
      <c r="G54" s="8"/>
      <c r="H54" s="82"/>
      <c r="I54" s="226"/>
      <c r="J54" s="9"/>
      <c r="K54" s="8"/>
      <c r="L54" s="116" t="s">
        <v>53</v>
      </c>
      <c r="M54" s="226">
        <v>185000</v>
      </c>
    </row>
    <row r="55" spans="5:13" s="61" customFormat="1">
      <c r="E55" s="129" t="s">
        <v>45</v>
      </c>
      <c r="F55" s="138">
        <f>250000+125000</f>
        <v>375000</v>
      </c>
      <c r="G55" s="82"/>
      <c r="H55" s="82"/>
      <c r="I55" s="227"/>
      <c r="J55" s="9"/>
      <c r="K55" s="8"/>
      <c r="L55" s="116" t="s">
        <v>116</v>
      </c>
      <c r="M55" s="226">
        <v>30000</v>
      </c>
    </row>
    <row r="56" spans="5:13" s="61" customFormat="1">
      <c r="E56" s="129" t="s">
        <v>205</v>
      </c>
      <c r="F56" s="138">
        <v>411644.53</v>
      </c>
      <c r="G56" s="82"/>
      <c r="H56" s="82"/>
      <c r="I56" s="227"/>
      <c r="J56" s="9"/>
      <c r="K56" s="8"/>
      <c r="L56" s="116"/>
      <c r="M56" s="226"/>
    </row>
    <row r="57" spans="5:13" s="61" customFormat="1">
      <c r="E57" s="129" t="s">
        <v>206</v>
      </c>
      <c r="F57" s="138"/>
      <c r="G57" s="82"/>
      <c r="H57" s="82"/>
      <c r="I57" s="227"/>
      <c r="J57" s="9"/>
      <c r="K57" s="8"/>
      <c r="L57" s="116"/>
      <c r="M57" s="226"/>
    </row>
    <row r="58" spans="5:13" s="61" customFormat="1">
      <c r="E58" s="139" t="s">
        <v>46</v>
      </c>
      <c r="F58" s="142">
        <f>SUM(F53:F55)</f>
        <v>963800</v>
      </c>
      <c r="G58" s="82"/>
      <c r="H58" s="118"/>
      <c r="I58" s="221"/>
      <c r="J58" s="9"/>
      <c r="K58" s="8"/>
      <c r="L58" s="118" t="s">
        <v>41</v>
      </c>
      <c r="M58" s="225">
        <f>SUM(M45:M55)</f>
        <v>2285000</v>
      </c>
    </row>
    <row r="59" spans="5:13" s="61" customFormat="1">
      <c r="E59" s="129"/>
      <c r="F59" s="265"/>
      <c r="G59" s="82"/>
      <c r="H59" s="82"/>
      <c r="I59" s="227"/>
      <c r="J59" s="9"/>
      <c r="K59" s="8"/>
      <c r="L59" s="118" t="s">
        <v>42</v>
      </c>
      <c r="M59" s="227">
        <f>+M43-M58</f>
        <v>-1564074.32</v>
      </c>
    </row>
    <row r="60" spans="5:13" s="61" customFormat="1">
      <c r="E60" s="139" t="s">
        <v>47</v>
      </c>
      <c r="F60" s="142">
        <f>F51-F58</f>
        <v>-825344.2300000001</v>
      </c>
      <c r="G60" s="82"/>
      <c r="H60" s="118"/>
      <c r="I60" s="220"/>
      <c r="J60" s="9"/>
      <c r="K60" s="8"/>
      <c r="L60" s="82"/>
      <c r="M60" s="221"/>
    </row>
    <row r="65" spans="4:7">
      <c r="D65" s="383" t="s">
        <v>192</v>
      </c>
      <c r="E65" s="383"/>
      <c r="F65" s="383"/>
      <c r="G65" s="8"/>
    </row>
    <row r="66" spans="4:7">
      <c r="D66" s="247" t="s">
        <v>194</v>
      </c>
      <c r="E66" s="247" t="s">
        <v>193</v>
      </c>
      <c r="F66" s="248" t="s">
        <v>24</v>
      </c>
      <c r="G66" s="8"/>
    </row>
    <row r="67" spans="4:7">
      <c r="D67" s="8" t="s">
        <v>9</v>
      </c>
      <c r="E67" s="249">
        <v>0</v>
      </c>
      <c r="F67" s="250">
        <v>20000</v>
      </c>
      <c r="G67" s="8"/>
    </row>
    <row r="68" spans="4:7">
      <c r="D68" s="8" t="s">
        <v>195</v>
      </c>
      <c r="E68" s="249">
        <f>125838.990762557-125000</f>
        <v>838.99076255700493</v>
      </c>
      <c r="F68" s="250">
        <v>28487.100420091323</v>
      </c>
      <c r="G68" s="8"/>
    </row>
    <row r="69" spans="4:7">
      <c r="D69" s="8" t="s">
        <v>188</v>
      </c>
      <c r="E69" s="249">
        <f>254025.53-250000</f>
        <v>4025.5299999999988</v>
      </c>
      <c r="F69" s="250"/>
      <c r="G69" s="124">
        <f>SUM(E70:F70)</f>
        <v>53351.621182648327</v>
      </c>
    </row>
    <row r="70" spans="4:7">
      <c r="D70" s="8"/>
      <c r="E70" s="124">
        <f>SUM(E67:E69)</f>
        <v>4864.5207625570038</v>
      </c>
      <c r="F70" s="250">
        <f>SUM(F67:F69)</f>
        <v>48487.100420091323</v>
      </c>
      <c r="G70" s="8"/>
    </row>
  </sheetData>
  <mergeCells count="17">
    <mergeCell ref="E10:F10"/>
    <mergeCell ref="B12:E12"/>
    <mergeCell ref="B14:D14"/>
    <mergeCell ref="G14:K14"/>
    <mergeCell ref="B15:D15"/>
    <mergeCell ref="G15:H15"/>
    <mergeCell ref="J15:K15"/>
    <mergeCell ref="G27:H27"/>
    <mergeCell ref="B30:D30"/>
    <mergeCell ref="B31:D31"/>
    <mergeCell ref="D65:F65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7D100-CE69-4A64-B7AE-C0D957E34D40}">
  <dimension ref="A6:M70"/>
  <sheetViews>
    <sheetView showGridLines="0" topLeftCell="A22" workbookViewId="0">
      <selection activeCell="N31" sqref="N31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2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2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2" ht="15" thickBot="1">
      <c r="A14" s="1"/>
      <c r="B14" s="334" t="s">
        <v>3</v>
      </c>
      <c r="C14" s="335"/>
      <c r="D14" s="336"/>
      <c r="E14" s="17">
        <f>SUM(E15:E17)</f>
        <v>787002.53999999992</v>
      </c>
      <c r="F14" s="153"/>
      <c r="G14" s="331" t="s">
        <v>4</v>
      </c>
      <c r="H14" s="332"/>
      <c r="I14" s="332"/>
      <c r="J14" s="332"/>
      <c r="K14" s="333"/>
      <c r="L14" s="19"/>
    </row>
    <row r="15" spans="1:12">
      <c r="A15" s="1"/>
      <c r="B15" s="337" t="s">
        <v>5</v>
      </c>
      <c r="C15" s="338"/>
      <c r="D15" s="339"/>
      <c r="E15" s="20">
        <f>J16+J17+J18+J19</f>
        <v>707884.08</v>
      </c>
      <c r="F15" s="153">
        <f>E15+E16+E17</f>
        <v>787002.53999999992</v>
      </c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20737.71</v>
      </c>
      <c r="F16" s="153">
        <v>90000</v>
      </c>
      <c r="G16" s="22">
        <v>10049.19</v>
      </c>
      <c r="H16" s="23" t="s">
        <v>8</v>
      </c>
      <c r="I16" s="24"/>
      <c r="J16" s="25">
        <v>51538.61</v>
      </c>
      <c r="K16" s="26" t="s">
        <v>9</v>
      </c>
      <c r="L16" s="13"/>
    </row>
    <row r="17" spans="2:11">
      <c r="B17" s="352" t="s">
        <v>6</v>
      </c>
      <c r="C17" s="353"/>
      <c r="D17" s="354"/>
      <c r="E17" s="28">
        <f>G16+G17+G18</f>
        <v>58380.75</v>
      </c>
      <c r="F17" s="153">
        <f>F15-F16</f>
        <v>697002.53999999992</v>
      </c>
      <c r="G17" s="22">
        <v>12979.13</v>
      </c>
      <c r="H17" s="29" t="s">
        <v>10</v>
      </c>
      <c r="I17" s="30"/>
      <c r="J17" s="25">
        <v>366898.89</v>
      </c>
      <c r="K17" s="31" t="s">
        <v>10</v>
      </c>
    </row>
    <row r="18" spans="2:11">
      <c r="B18" s="236" t="s">
        <v>187</v>
      </c>
      <c r="C18" s="237"/>
      <c r="D18" s="238"/>
      <c r="E18" s="28">
        <f>+J22</f>
        <v>0</v>
      </c>
      <c r="F18" s="153"/>
      <c r="G18" s="22">
        <v>35352.43</v>
      </c>
      <c r="H18" s="29" t="s">
        <v>12</v>
      </c>
      <c r="I18" s="30"/>
      <c r="J18" s="25">
        <v>138615.34</v>
      </c>
      <c r="K18" s="31" t="s">
        <v>12</v>
      </c>
    </row>
    <row r="19" spans="2:11">
      <c r="B19" s="379" t="s">
        <v>11</v>
      </c>
      <c r="C19" s="380"/>
      <c r="D19" s="381"/>
      <c r="E19" s="20">
        <f>G29+G31+G30+G28</f>
        <v>7537.9299999999994</v>
      </c>
      <c r="F19" s="153"/>
      <c r="G19" s="33"/>
      <c r="H19" s="34"/>
      <c r="I19" s="30"/>
      <c r="J19" s="25">
        <v>150831.24</v>
      </c>
      <c r="K19" s="31" t="s">
        <v>14</v>
      </c>
    </row>
    <row r="20" spans="2:11">
      <c r="B20" s="344" t="s">
        <v>13</v>
      </c>
      <c r="C20" s="345"/>
      <c r="D20" s="346"/>
      <c r="E20" s="20">
        <v>22881517.210000001</v>
      </c>
      <c r="F20" s="153"/>
      <c r="G20" s="239"/>
      <c r="H20" s="240"/>
      <c r="I20" s="30"/>
      <c r="J20" s="25"/>
      <c r="K20" s="31"/>
    </row>
    <row r="21" spans="2:11">
      <c r="B21" s="187" t="s">
        <v>15</v>
      </c>
      <c r="C21" s="188"/>
      <c r="D21" s="189"/>
      <c r="E21" s="190">
        <f>SUM(E22:E24)</f>
        <v>0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1">
      <c r="B22" s="187"/>
      <c r="C22" s="188"/>
      <c r="D22" s="198"/>
      <c r="E22" s="190">
        <v>0</v>
      </c>
      <c r="F22" s="153">
        <f>SUM(E25:E31)</f>
        <v>150000</v>
      </c>
      <c r="G22" s="44">
        <v>10945.04</v>
      </c>
      <c r="H22" s="29" t="s">
        <v>10</v>
      </c>
      <c r="I22" s="30"/>
      <c r="J22" s="25">
        <v>0</v>
      </c>
      <c r="K22" s="31" t="s">
        <v>188</v>
      </c>
    </row>
    <row r="23" spans="2:11">
      <c r="B23" s="187"/>
      <c r="C23" s="188"/>
      <c r="D23" s="198"/>
      <c r="E23" s="190">
        <v>0</v>
      </c>
      <c r="F23" s="153"/>
      <c r="G23" s="44">
        <v>9792.67</v>
      </c>
      <c r="H23" s="29" t="s">
        <v>18</v>
      </c>
      <c r="I23" s="30"/>
      <c r="J23" s="25"/>
      <c r="K23" s="31"/>
    </row>
    <row r="24" spans="2:11" ht="15" thickBot="1">
      <c r="B24" s="206"/>
      <c r="C24" s="205"/>
      <c r="D24" s="208"/>
      <c r="E24" s="190">
        <v>0</v>
      </c>
      <c r="F24" s="153">
        <f>+F17-F22</f>
        <v>547002.53999999992</v>
      </c>
      <c r="G24" s="51"/>
      <c r="H24" s="34"/>
      <c r="I24" s="30"/>
      <c r="J24" s="210"/>
      <c r="K24" s="53"/>
    </row>
    <row r="25" spans="2:11" ht="15" thickBot="1">
      <c r="B25" s="46" t="s">
        <v>17</v>
      </c>
      <c r="C25" s="47"/>
      <c r="D25" s="48"/>
      <c r="E25" s="234">
        <v>0</v>
      </c>
      <c r="F25" s="153"/>
      <c r="G25" s="331" t="s">
        <v>21</v>
      </c>
      <c r="H25" s="332"/>
      <c r="I25" s="332"/>
      <c r="J25" s="332"/>
      <c r="K25" s="333"/>
    </row>
    <row r="26" spans="2:11">
      <c r="B26" s="202" t="s">
        <v>163</v>
      </c>
      <c r="C26" s="203"/>
      <c r="D26" s="204"/>
      <c r="E26" s="49">
        <v>70000</v>
      </c>
      <c r="F26" s="153"/>
      <c r="G26" s="54"/>
      <c r="H26" s="55"/>
      <c r="I26" s="56"/>
      <c r="J26" s="211"/>
      <c r="K26" s="58"/>
    </row>
    <row r="27" spans="2:11">
      <c r="B27" s="199" t="s">
        <v>22</v>
      </c>
      <c r="C27" s="200"/>
      <c r="D27" s="201"/>
      <c r="E27" s="49">
        <v>0</v>
      </c>
      <c r="F27" s="221"/>
      <c r="G27" s="377" t="s">
        <v>5</v>
      </c>
      <c r="H27" s="378"/>
      <c r="I27" s="59"/>
      <c r="J27" s="60"/>
      <c r="K27" s="45"/>
    </row>
    <row r="28" spans="2:11">
      <c r="B28" s="199" t="s">
        <v>81</v>
      </c>
      <c r="C28" s="200"/>
      <c r="D28" s="201"/>
      <c r="E28" s="49">
        <v>0</v>
      </c>
      <c r="F28" s="220"/>
      <c r="G28" s="22">
        <f>21848.49-11500-8500</f>
        <v>1848.4900000000016</v>
      </c>
      <c r="H28" s="62" t="s">
        <v>9</v>
      </c>
      <c r="I28" s="59"/>
      <c r="J28" s="60"/>
      <c r="K28" s="45"/>
    </row>
    <row r="29" spans="2:11">
      <c r="B29" s="199" t="s">
        <v>24</v>
      </c>
      <c r="C29" s="200"/>
      <c r="D29" s="201"/>
      <c r="E29" s="49">
        <v>80000</v>
      </c>
      <c r="F29" s="219"/>
      <c r="G29" s="22">
        <f>29712.38- 154326.09+125000</f>
        <v>386.29000000000815</v>
      </c>
      <c r="H29" s="62" t="s">
        <v>26</v>
      </c>
      <c r="I29" s="63"/>
      <c r="J29" s="64" t="s">
        <v>27</v>
      </c>
      <c r="K29" s="65" t="s">
        <v>28</v>
      </c>
    </row>
    <row r="30" spans="2:11">
      <c r="B30" s="344" t="s">
        <v>25</v>
      </c>
      <c r="C30" s="345"/>
      <c r="D30" s="346"/>
      <c r="E30" s="49">
        <v>0</v>
      </c>
      <c r="F30" s="219"/>
      <c r="G30" s="67">
        <v>1736.88</v>
      </c>
      <c r="H30" s="68" t="s">
        <v>14</v>
      </c>
      <c r="I30" s="63"/>
      <c r="J30" s="64" t="s">
        <v>30</v>
      </c>
      <c r="K30" s="65" t="s">
        <v>31</v>
      </c>
    </row>
    <row r="31" spans="2:11" ht="15" thickBot="1">
      <c r="B31" s="363" t="s">
        <v>29</v>
      </c>
      <c r="C31" s="364"/>
      <c r="D31" s="365"/>
      <c r="E31" s="66">
        <v>0</v>
      </c>
      <c r="F31" s="219"/>
      <c r="G31" s="71">
        <f>7591.8-254025.53+250000</f>
        <v>3566.2699999999895</v>
      </c>
      <c r="H31" s="72" t="s">
        <v>12</v>
      </c>
      <c r="I31" s="73"/>
      <c r="J31" s="74" t="s">
        <v>32</v>
      </c>
      <c r="K31" s="75" t="s">
        <v>33</v>
      </c>
    </row>
    <row r="36" spans="5:13" s="61" customFormat="1" ht="15" customHeight="1">
      <c r="E36" s="252" t="s">
        <v>199</v>
      </c>
      <c r="F36" s="253"/>
      <c r="G36" s="79"/>
      <c r="H36" s="266"/>
      <c r="I36" s="79"/>
      <c r="J36" s="266"/>
      <c r="K36" s="129"/>
      <c r="L36" s="130"/>
      <c r="M36" s="79"/>
    </row>
    <row r="37" spans="5:13" s="61" customFormat="1" ht="15" customHeight="1">
      <c r="E37" s="252"/>
      <c r="F37" s="253"/>
      <c r="G37" s="252"/>
      <c r="H37" s="252"/>
      <c r="I37" s="253"/>
      <c r="J37" s="266"/>
      <c r="K37" s="129"/>
      <c r="L37" s="252" t="s">
        <v>200</v>
      </c>
      <c r="M37" s="253"/>
    </row>
    <row r="38" spans="5:13" s="61" customFormat="1" ht="15" customHeight="1">
      <c r="E38" s="79" t="s">
        <v>34</v>
      </c>
      <c r="F38" s="253">
        <f>F17</f>
        <v>697002.53999999992</v>
      </c>
      <c r="G38" s="130"/>
      <c r="H38" s="252"/>
      <c r="I38" s="253"/>
      <c r="J38" s="266"/>
      <c r="K38" s="129"/>
      <c r="L38" s="252"/>
      <c r="M38" s="253"/>
    </row>
    <row r="39" spans="5:13" s="61" customFormat="1" ht="15" customHeight="1">
      <c r="E39" s="79" t="s">
        <v>35</v>
      </c>
      <c r="F39" s="253">
        <f>+E19</f>
        <v>7537.9299999999994</v>
      </c>
      <c r="G39" s="130"/>
      <c r="H39" s="79"/>
      <c r="I39" s="253"/>
      <c r="J39" s="266"/>
      <c r="K39" s="131"/>
      <c r="L39" s="79" t="s">
        <v>34</v>
      </c>
      <c r="M39" s="253">
        <f>+F17</f>
        <v>697002.53999999992</v>
      </c>
    </row>
    <row r="40" spans="5:13" s="61" customFormat="1" ht="15" customHeight="1">
      <c r="E40" s="79" t="s">
        <v>36</v>
      </c>
      <c r="F40" s="253">
        <f>495000-325000-85000</f>
        <v>85000</v>
      </c>
      <c r="G40" s="130"/>
      <c r="H40" s="79"/>
      <c r="I40" s="254"/>
      <c r="J40" s="266"/>
      <c r="K40" s="133"/>
      <c r="L40" s="79" t="s">
        <v>35</v>
      </c>
      <c r="M40" s="253">
        <v>0</v>
      </c>
    </row>
    <row r="41" spans="5:13" s="61" customFormat="1" ht="15" customHeight="1">
      <c r="E41" s="79" t="s">
        <v>37</v>
      </c>
      <c r="F41" s="253">
        <v>0</v>
      </c>
      <c r="G41" s="266"/>
      <c r="H41" s="79"/>
      <c r="I41" s="253"/>
      <c r="J41" s="266"/>
      <c r="K41" s="79"/>
      <c r="L41" s="79" t="s">
        <v>36</v>
      </c>
      <c r="M41" s="253">
        <v>0</v>
      </c>
    </row>
    <row r="42" spans="5:13" s="61" customFormat="1" ht="15" customHeight="1">
      <c r="E42" s="255" t="s">
        <v>38</v>
      </c>
      <c r="F42" s="256">
        <f>SUM(F38:F41)</f>
        <v>789540.47</v>
      </c>
      <c r="G42" s="266"/>
      <c r="H42" s="79"/>
      <c r="I42" s="253"/>
      <c r="J42" s="266"/>
      <c r="K42" s="79"/>
      <c r="L42" s="79" t="s">
        <v>37</v>
      </c>
      <c r="M42" s="253">
        <v>0</v>
      </c>
    </row>
    <row r="43" spans="5:13" s="61" customFormat="1" ht="15" customHeight="1">
      <c r="E43" s="257"/>
      <c r="F43" s="258"/>
      <c r="G43" s="266"/>
      <c r="H43" s="255"/>
      <c r="I43" s="256"/>
      <c r="J43" s="266"/>
      <c r="K43" s="79"/>
      <c r="L43" s="255" t="s">
        <v>38</v>
      </c>
      <c r="M43" s="256">
        <f>SUM(M39:M42)</f>
        <v>697002.53999999992</v>
      </c>
    </row>
    <row r="44" spans="5:13" s="61" customFormat="1" ht="15" customHeight="1">
      <c r="E44" s="257" t="s">
        <v>152</v>
      </c>
      <c r="F44" s="147">
        <v>135000</v>
      </c>
      <c r="G44" s="266"/>
      <c r="H44" s="257"/>
      <c r="I44" s="258"/>
      <c r="J44" s="266"/>
      <c r="K44" s="79"/>
      <c r="L44" s="257"/>
      <c r="M44" s="258"/>
    </row>
    <row r="45" spans="5:13" s="61" customFormat="1" ht="15" customHeight="1">
      <c r="E45" s="257" t="s">
        <v>50</v>
      </c>
      <c r="F45" s="147">
        <v>0</v>
      </c>
      <c r="G45" s="266"/>
      <c r="H45" s="257"/>
      <c r="I45" s="258"/>
      <c r="J45" s="266"/>
      <c r="K45" s="79"/>
      <c r="L45" s="257" t="s">
        <v>152</v>
      </c>
      <c r="M45" s="258">
        <v>135000</v>
      </c>
    </row>
    <row r="46" spans="5:13" s="61" customFormat="1" ht="15" customHeight="1">
      <c r="E46" s="257" t="s">
        <v>81</v>
      </c>
      <c r="F46" s="258">
        <f>372221+3294+46851+1597</f>
        <v>423963</v>
      </c>
      <c r="G46" s="266"/>
      <c r="H46" s="137"/>
      <c r="I46" s="218"/>
      <c r="J46" s="266"/>
      <c r="K46" s="79"/>
      <c r="L46" s="257" t="s">
        <v>69</v>
      </c>
      <c r="M46" s="258">
        <v>60000</v>
      </c>
    </row>
    <row r="47" spans="5:13" s="61" customFormat="1">
      <c r="E47" s="137" t="s">
        <v>24</v>
      </c>
      <c r="F47" s="218">
        <v>0</v>
      </c>
      <c r="G47" s="79"/>
      <c r="H47" s="137"/>
      <c r="I47" s="218"/>
      <c r="J47" s="266"/>
      <c r="K47" s="79"/>
      <c r="L47" s="257" t="s">
        <v>201</v>
      </c>
      <c r="M47" s="258">
        <v>1350000</v>
      </c>
    </row>
    <row r="48" spans="5:13" s="61" customFormat="1">
      <c r="E48" s="137" t="s">
        <v>22</v>
      </c>
      <c r="F48" s="147">
        <v>50000</v>
      </c>
      <c r="G48" s="79"/>
      <c r="H48" s="137"/>
      <c r="I48" s="218"/>
      <c r="J48" s="266"/>
      <c r="K48" s="79"/>
      <c r="L48" s="257" t="s">
        <v>202</v>
      </c>
      <c r="M48" s="258">
        <v>90000</v>
      </c>
    </row>
    <row r="49" spans="5:13" s="61" customFormat="1">
      <c r="E49" s="137" t="s">
        <v>40</v>
      </c>
      <c r="F49" s="147">
        <v>70000</v>
      </c>
      <c r="G49" s="79"/>
      <c r="H49" s="137"/>
      <c r="I49" s="259"/>
      <c r="J49" s="266"/>
      <c r="K49" s="79"/>
      <c r="L49" s="137" t="s">
        <v>24</v>
      </c>
      <c r="M49" s="218">
        <v>0</v>
      </c>
    </row>
    <row r="50" spans="5:13" s="61" customFormat="1">
      <c r="E50" s="139" t="s">
        <v>41</v>
      </c>
      <c r="F50" s="259">
        <f>SUM(F44:F49)</f>
        <v>678963</v>
      </c>
      <c r="G50" s="79"/>
      <c r="H50" s="139"/>
      <c r="I50" s="259"/>
      <c r="J50" s="267"/>
      <c r="K50" s="79"/>
      <c r="L50" s="137" t="s">
        <v>22</v>
      </c>
      <c r="M50" s="218">
        <v>50000</v>
      </c>
    </row>
    <row r="51" spans="5:13" s="61" customFormat="1">
      <c r="E51" s="139" t="s">
        <v>42</v>
      </c>
      <c r="F51" s="259">
        <f>F42-F50</f>
        <v>110577.46999999997</v>
      </c>
      <c r="G51" s="79"/>
      <c r="H51" s="139"/>
      <c r="I51" s="251"/>
      <c r="J51" s="267"/>
      <c r="K51" s="79"/>
      <c r="L51" s="137" t="s">
        <v>40</v>
      </c>
      <c r="M51" s="260">
        <v>150000</v>
      </c>
    </row>
    <row r="52" spans="5:13" s="61" customFormat="1">
      <c r="E52" s="79"/>
      <c r="F52" s="147"/>
      <c r="G52" s="79"/>
      <c r="H52" s="129"/>
      <c r="I52" s="251"/>
      <c r="J52" s="266"/>
      <c r="K52" s="79"/>
      <c r="L52" s="257" t="s">
        <v>105</v>
      </c>
      <c r="M52" s="218">
        <v>95000</v>
      </c>
    </row>
    <row r="53" spans="5:13" s="61" customFormat="1">
      <c r="E53" s="129" t="s">
        <v>43</v>
      </c>
      <c r="F53" s="265">
        <f>43800+180000</f>
        <v>223800</v>
      </c>
      <c r="G53" s="79"/>
      <c r="H53" s="129"/>
      <c r="I53" s="251"/>
      <c r="J53" s="266"/>
      <c r="K53" s="79"/>
      <c r="L53" s="137" t="s">
        <v>53</v>
      </c>
      <c r="M53" s="260">
        <v>185000</v>
      </c>
    </row>
    <row r="54" spans="5:13" s="61" customFormat="1">
      <c r="E54" s="129" t="s">
        <v>44</v>
      </c>
      <c r="F54" s="265">
        <v>365000</v>
      </c>
      <c r="G54" s="79"/>
      <c r="H54" s="129"/>
      <c r="I54" s="260"/>
      <c r="J54" s="266"/>
      <c r="K54" s="79"/>
      <c r="L54" s="137" t="s">
        <v>116</v>
      </c>
      <c r="M54" s="260">
        <v>30000</v>
      </c>
    </row>
    <row r="55" spans="5:13" s="61" customFormat="1">
      <c r="E55" s="129" t="s">
        <v>45</v>
      </c>
      <c r="F55" s="138">
        <f>250000+125000</f>
        <v>375000</v>
      </c>
      <c r="G55" s="129"/>
      <c r="H55" s="129"/>
      <c r="I55" s="261"/>
      <c r="J55" s="266"/>
      <c r="K55" s="79"/>
      <c r="L55" s="137"/>
      <c r="M55" s="260"/>
    </row>
    <row r="56" spans="5:13" s="61" customFormat="1">
      <c r="E56" s="129" t="s">
        <v>205</v>
      </c>
      <c r="F56" s="138">
        <v>411902.37</v>
      </c>
      <c r="G56" s="129"/>
      <c r="H56" s="129"/>
      <c r="I56" s="261"/>
      <c r="J56" s="266"/>
      <c r="K56" s="79"/>
      <c r="L56" s="137"/>
      <c r="M56" s="260"/>
    </row>
    <row r="57" spans="5:13" s="61" customFormat="1">
      <c r="E57" s="129" t="s">
        <v>206</v>
      </c>
      <c r="F57" s="138"/>
      <c r="G57" s="129"/>
      <c r="H57" s="129"/>
      <c r="I57" s="261"/>
      <c r="J57" s="266"/>
      <c r="K57" s="79"/>
      <c r="L57" s="139" t="s">
        <v>41</v>
      </c>
      <c r="M57" s="259">
        <f>SUM(M45:M54)</f>
        <v>2145000</v>
      </c>
    </row>
    <row r="58" spans="5:13" s="61" customFormat="1">
      <c r="E58" s="139" t="s">
        <v>46</v>
      </c>
      <c r="F58" s="142">
        <f>SUM(F53:F55)</f>
        <v>963800</v>
      </c>
      <c r="G58" s="129"/>
      <c r="H58" s="139"/>
      <c r="I58" s="251"/>
      <c r="J58" s="266"/>
      <c r="K58" s="79"/>
      <c r="L58" s="139" t="s">
        <v>42</v>
      </c>
      <c r="M58" s="261">
        <f>+M43-M57</f>
        <v>-1447997.46</v>
      </c>
    </row>
    <row r="59" spans="5:13" s="61" customFormat="1">
      <c r="E59" s="129"/>
      <c r="F59" s="265"/>
      <c r="G59" s="129"/>
      <c r="H59" s="129"/>
      <c r="I59" s="261"/>
      <c r="J59" s="266"/>
      <c r="K59" s="79"/>
      <c r="L59" s="79"/>
      <c r="M59" s="79"/>
    </row>
    <row r="60" spans="5:13" s="61" customFormat="1">
      <c r="E60" s="139" t="s">
        <v>47</v>
      </c>
      <c r="F60" s="142">
        <f>F51-F58</f>
        <v>-853222.53</v>
      </c>
      <c r="G60" s="129"/>
      <c r="H60" s="139"/>
      <c r="I60" s="218"/>
      <c r="J60" s="266"/>
      <c r="K60" s="79"/>
      <c r="L60" s="129"/>
      <c r="M60" s="251"/>
    </row>
    <row r="65" spans="4:7">
      <c r="D65" s="383" t="s">
        <v>192</v>
      </c>
      <c r="E65" s="383"/>
      <c r="F65" s="383"/>
      <c r="G65" s="8"/>
    </row>
    <row r="66" spans="4:7">
      <c r="D66" s="247" t="s">
        <v>194</v>
      </c>
      <c r="E66" s="247" t="s">
        <v>193</v>
      </c>
      <c r="F66" s="248" t="s">
        <v>24</v>
      </c>
      <c r="G66" s="8"/>
    </row>
    <row r="67" spans="4:7">
      <c r="D67" s="8" t="s">
        <v>9</v>
      </c>
      <c r="E67" s="249">
        <v>0</v>
      </c>
      <c r="F67" s="250">
        <v>20000</v>
      </c>
      <c r="G67" s="8"/>
    </row>
    <row r="68" spans="4:7">
      <c r="D68" s="8" t="s">
        <v>195</v>
      </c>
      <c r="E68" s="249">
        <f>125838.990762557-125000</f>
        <v>838.99076255700493</v>
      </c>
      <c r="F68" s="250">
        <v>28487.100420091323</v>
      </c>
      <c r="G68" s="8"/>
    </row>
    <row r="69" spans="4:7">
      <c r="D69" s="8" t="s">
        <v>188</v>
      </c>
      <c r="E69" s="249">
        <f>254025.53-250000</f>
        <v>4025.5299999999988</v>
      </c>
      <c r="F69" s="250"/>
      <c r="G69" s="124">
        <f>SUM(E70:F70)</f>
        <v>53351.621182648327</v>
      </c>
    </row>
    <row r="70" spans="4:7">
      <c r="D70" s="8"/>
      <c r="E70" s="124">
        <f>SUM(E67:E69)</f>
        <v>4864.5207625570038</v>
      </c>
      <c r="F70" s="250">
        <f>SUM(F67:F69)</f>
        <v>48487.100420091323</v>
      </c>
      <c r="G70" s="8"/>
    </row>
  </sheetData>
  <mergeCells count="17">
    <mergeCell ref="E10:F10"/>
    <mergeCell ref="B12:E12"/>
    <mergeCell ref="B14:D14"/>
    <mergeCell ref="G14:K14"/>
    <mergeCell ref="B15:D15"/>
    <mergeCell ref="G15:H15"/>
    <mergeCell ref="J15:K15"/>
    <mergeCell ref="G27:H27"/>
    <mergeCell ref="B30:D30"/>
    <mergeCell ref="B31:D31"/>
    <mergeCell ref="D65:F65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BCEEC-FF6F-4027-B45F-BF8E82CE7E5F}">
  <dimension ref="A6:M70"/>
  <sheetViews>
    <sheetView showGridLines="0" workbookViewId="0">
      <selection activeCell="E27" sqref="E27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2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2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2" ht="15" thickBot="1">
      <c r="A14" s="1"/>
      <c r="B14" s="334" t="s">
        <v>3</v>
      </c>
      <c r="C14" s="335"/>
      <c r="D14" s="336"/>
      <c r="E14" s="17">
        <f>SUM(E15:E17)</f>
        <v>429263.31</v>
      </c>
      <c r="F14" s="153"/>
      <c r="G14" s="331" t="s">
        <v>4</v>
      </c>
      <c r="H14" s="332"/>
      <c r="I14" s="332"/>
      <c r="J14" s="332"/>
      <c r="K14" s="333"/>
      <c r="L14" s="19"/>
    </row>
    <row r="15" spans="1:12">
      <c r="A15" s="1"/>
      <c r="B15" s="337" t="s">
        <v>5</v>
      </c>
      <c r="C15" s="338"/>
      <c r="D15" s="339"/>
      <c r="E15" s="20">
        <f>J16+J17+J18+J19</f>
        <v>349138.36</v>
      </c>
      <c r="F15" s="153">
        <f>E15+E16+E17</f>
        <v>429263.31</v>
      </c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20737.71</v>
      </c>
      <c r="F16" s="153">
        <v>90000</v>
      </c>
      <c r="G16" s="22">
        <v>10049.19</v>
      </c>
      <c r="H16" s="23" t="s">
        <v>8</v>
      </c>
      <c r="I16" s="24"/>
      <c r="J16" s="25">
        <v>42669.81</v>
      </c>
      <c r="K16" s="26" t="s">
        <v>9</v>
      </c>
      <c r="L16" s="13"/>
    </row>
    <row r="17" spans="2:11">
      <c r="B17" s="352" t="s">
        <v>6</v>
      </c>
      <c r="C17" s="353"/>
      <c r="D17" s="354"/>
      <c r="E17" s="28">
        <f>G16+G17+G18</f>
        <v>59387.240000000005</v>
      </c>
      <c r="F17" s="153">
        <f>F15-F16</f>
        <v>339263.31</v>
      </c>
      <c r="G17" s="22">
        <v>13985.62</v>
      </c>
      <c r="H17" s="29" t="s">
        <v>10</v>
      </c>
      <c r="I17" s="30"/>
      <c r="J17" s="25">
        <v>157503.69</v>
      </c>
      <c r="K17" s="31" t="s">
        <v>10</v>
      </c>
    </row>
    <row r="18" spans="2:11">
      <c r="B18" s="236" t="s">
        <v>187</v>
      </c>
      <c r="C18" s="237"/>
      <c r="D18" s="238"/>
      <c r="E18" s="28">
        <f>+J22</f>
        <v>0</v>
      </c>
      <c r="F18" s="153"/>
      <c r="G18" s="22">
        <v>35352.43</v>
      </c>
      <c r="H18" s="29" t="s">
        <v>12</v>
      </c>
      <c r="I18" s="30"/>
      <c r="J18" s="25">
        <v>92365.34</v>
      </c>
      <c r="K18" s="31" t="s">
        <v>12</v>
      </c>
    </row>
    <row r="19" spans="2:11">
      <c r="B19" s="379" t="s">
        <v>11</v>
      </c>
      <c r="C19" s="380"/>
      <c r="D19" s="381"/>
      <c r="E19" s="20">
        <f>G29+G31+G30+G28</f>
        <v>7543.7699999999959</v>
      </c>
      <c r="F19" s="153"/>
      <c r="G19" s="33"/>
      <c r="H19" s="34"/>
      <c r="I19" s="30"/>
      <c r="J19" s="25">
        <v>56599.519999999997</v>
      </c>
      <c r="K19" s="31" t="s">
        <v>14</v>
      </c>
    </row>
    <row r="20" spans="2:11">
      <c r="B20" s="344" t="s">
        <v>13</v>
      </c>
      <c r="C20" s="345"/>
      <c r="D20" s="346"/>
      <c r="E20" s="20">
        <v>22897757.210000001</v>
      </c>
      <c r="F20" s="153"/>
      <c r="G20" s="239"/>
      <c r="H20" s="240"/>
      <c r="I20" s="30"/>
      <c r="J20" s="25"/>
      <c r="K20" s="31"/>
    </row>
    <row r="21" spans="2:11">
      <c r="B21" s="187" t="s">
        <v>15</v>
      </c>
      <c r="C21" s="188"/>
      <c r="D21" s="189"/>
      <c r="E21" s="190">
        <f>SUM(E22:E24)</f>
        <v>0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1">
      <c r="B22" s="187"/>
      <c r="C22" s="188"/>
      <c r="D22" s="198"/>
      <c r="E22" s="190">
        <v>0</v>
      </c>
      <c r="F22" s="153">
        <f>SUM(E25:E31)</f>
        <v>83817.039999999994</v>
      </c>
      <c r="G22" s="44">
        <v>10945.04</v>
      </c>
      <c r="H22" s="29" t="s">
        <v>10</v>
      </c>
      <c r="I22" s="30"/>
      <c r="J22" s="25">
        <v>0</v>
      </c>
      <c r="K22" s="31" t="s">
        <v>188</v>
      </c>
    </row>
    <row r="23" spans="2:11">
      <c r="B23" s="187"/>
      <c r="C23" s="188"/>
      <c r="D23" s="198"/>
      <c r="E23" s="190">
        <v>0</v>
      </c>
      <c r="F23" s="153"/>
      <c r="G23" s="44">
        <v>9792.67</v>
      </c>
      <c r="H23" s="29" t="s">
        <v>18</v>
      </c>
      <c r="I23" s="30"/>
      <c r="J23" s="25"/>
      <c r="K23" s="31"/>
    </row>
    <row r="24" spans="2:11" ht="15" thickBot="1">
      <c r="B24" s="206"/>
      <c r="C24" s="205"/>
      <c r="D24" s="208"/>
      <c r="E24" s="190">
        <v>0</v>
      </c>
      <c r="F24" s="153">
        <f>+F17-F22</f>
        <v>255446.27000000002</v>
      </c>
      <c r="G24" s="51"/>
      <c r="H24" s="34"/>
      <c r="I24" s="30"/>
      <c r="J24" s="210"/>
      <c r="K24" s="53"/>
    </row>
    <row r="25" spans="2:11" ht="15" thickBot="1">
      <c r="B25" s="46" t="s">
        <v>17</v>
      </c>
      <c r="C25" s="47"/>
      <c r="D25" s="48"/>
      <c r="E25" s="234">
        <v>61154.239999999998</v>
      </c>
      <c r="F25" s="153"/>
      <c r="G25" s="331" t="s">
        <v>21</v>
      </c>
      <c r="H25" s="332"/>
      <c r="I25" s="332"/>
      <c r="J25" s="332"/>
      <c r="K25" s="333"/>
    </row>
    <row r="26" spans="2:11">
      <c r="B26" s="202" t="s">
        <v>163</v>
      </c>
      <c r="C26" s="203"/>
      <c r="D26" s="204"/>
      <c r="E26" s="49">
        <v>0</v>
      </c>
      <c r="F26" s="153"/>
      <c r="G26" s="54"/>
      <c r="H26" s="55"/>
      <c r="I26" s="56"/>
      <c r="J26" s="211"/>
      <c r="K26" s="58"/>
    </row>
    <row r="27" spans="2:11">
      <c r="B27" s="199" t="s">
        <v>22</v>
      </c>
      <c r="C27" s="200"/>
      <c r="D27" s="201"/>
      <c r="E27" s="49">
        <v>22662.799999999999</v>
      </c>
      <c r="F27" s="221"/>
      <c r="G27" s="377" t="s">
        <v>5</v>
      </c>
      <c r="H27" s="378"/>
      <c r="I27" s="59"/>
      <c r="J27" s="60"/>
      <c r="K27" s="45"/>
    </row>
    <row r="28" spans="2:11">
      <c r="B28" s="199" t="s">
        <v>81</v>
      </c>
      <c r="C28" s="200"/>
      <c r="D28" s="201"/>
      <c r="E28" s="49">
        <v>0</v>
      </c>
      <c r="F28" s="220"/>
      <c r="G28" s="22">
        <f>21851.21-11500-8500</f>
        <v>1851.2099999999991</v>
      </c>
      <c r="H28" s="62" t="s">
        <v>9</v>
      </c>
      <c r="I28" s="59"/>
      <c r="J28" s="60"/>
      <c r="K28" s="45"/>
    </row>
    <row r="29" spans="2:11">
      <c r="B29" s="199" t="s">
        <v>24</v>
      </c>
      <c r="C29" s="200"/>
      <c r="D29" s="201"/>
      <c r="E29" s="49">
        <v>0</v>
      </c>
      <c r="F29" s="219"/>
      <c r="G29" s="22">
        <f>29715.16- 154326.09+125000</f>
        <v>389.07000000000698</v>
      </c>
      <c r="H29" s="62" t="s">
        <v>26</v>
      </c>
      <c r="I29" s="63"/>
      <c r="J29" s="64" t="s">
        <v>27</v>
      </c>
      <c r="K29" s="65" t="s">
        <v>28</v>
      </c>
    </row>
    <row r="30" spans="2:11">
      <c r="B30" s="344" t="s">
        <v>25</v>
      </c>
      <c r="C30" s="345"/>
      <c r="D30" s="346"/>
      <c r="E30" s="49">
        <v>0</v>
      </c>
      <c r="F30" s="219"/>
      <c r="G30" s="67">
        <v>1737.22</v>
      </c>
      <c r="H30" s="68" t="s">
        <v>14</v>
      </c>
      <c r="I30" s="63"/>
      <c r="J30" s="64" t="s">
        <v>30</v>
      </c>
      <c r="K30" s="65" t="s">
        <v>31</v>
      </c>
    </row>
    <row r="31" spans="2:11" ht="15" thickBot="1">
      <c r="B31" s="363" t="s">
        <v>29</v>
      </c>
      <c r="C31" s="364"/>
      <c r="D31" s="365"/>
      <c r="E31" s="66">
        <v>0</v>
      </c>
      <c r="F31" s="219"/>
      <c r="G31" s="71">
        <f>7591.8-254025.53+250000</f>
        <v>3566.2699999999895</v>
      </c>
      <c r="H31" s="72" t="s">
        <v>12</v>
      </c>
      <c r="I31" s="73"/>
      <c r="J31" s="74" t="s">
        <v>32</v>
      </c>
      <c r="K31" s="75" t="s">
        <v>33</v>
      </c>
    </row>
    <row r="36" spans="5:13" s="61" customFormat="1" ht="15" customHeight="1">
      <c r="E36" s="181" t="s">
        <v>199</v>
      </c>
      <c r="F36" s="222"/>
      <c r="G36" s="8"/>
      <c r="H36" s="9"/>
      <c r="I36" s="8"/>
      <c r="J36" s="9"/>
      <c r="K36" s="82"/>
      <c r="L36" s="86"/>
      <c r="M36" s="8"/>
    </row>
    <row r="37" spans="5:13" s="61" customFormat="1" ht="15" customHeight="1">
      <c r="E37" s="181"/>
      <c r="F37" s="222"/>
      <c r="G37" s="181"/>
      <c r="H37" s="181"/>
      <c r="I37" s="222"/>
      <c r="J37" s="9"/>
      <c r="K37" s="82"/>
      <c r="L37" s="181" t="s">
        <v>200</v>
      </c>
      <c r="M37" s="222"/>
    </row>
    <row r="38" spans="5:13" s="61" customFormat="1" ht="15" customHeight="1">
      <c r="E38" s="8" t="s">
        <v>34</v>
      </c>
      <c r="F38" s="222">
        <f>F17</f>
        <v>339263.31</v>
      </c>
      <c r="G38" s="86"/>
      <c r="H38" s="181"/>
      <c r="I38" s="222"/>
      <c r="J38" s="9"/>
      <c r="K38" s="82"/>
      <c r="L38" s="181"/>
      <c r="M38" s="222"/>
    </row>
    <row r="39" spans="5:13" s="61" customFormat="1" ht="15" customHeight="1">
      <c r="E39" s="8" t="s">
        <v>35</v>
      </c>
      <c r="F39" s="222">
        <f>+E19</f>
        <v>7543.7699999999959</v>
      </c>
      <c r="G39" s="86"/>
      <c r="H39" s="8"/>
      <c r="I39" s="222"/>
      <c r="J39" s="9"/>
      <c r="K39" s="112"/>
      <c r="L39" s="8" t="s">
        <v>34</v>
      </c>
      <c r="M39" s="222">
        <f>+F17</f>
        <v>339263.31</v>
      </c>
    </row>
    <row r="40" spans="5:13" s="61" customFormat="1" ht="15" customHeight="1">
      <c r="E40" s="8" t="s">
        <v>36</v>
      </c>
      <c r="F40" s="222">
        <f>495000-325000-85000</f>
        <v>85000</v>
      </c>
      <c r="G40" s="86"/>
      <c r="H40" s="8"/>
      <c r="I40" s="213"/>
      <c r="J40" s="9"/>
      <c r="K40" s="113"/>
      <c r="L40" s="8" t="s">
        <v>35</v>
      </c>
      <c r="M40" s="222">
        <v>0</v>
      </c>
    </row>
    <row r="41" spans="5:13" s="61" customFormat="1" ht="15" customHeight="1">
      <c r="E41" s="8" t="s">
        <v>37</v>
      </c>
      <c r="F41" s="222">
        <v>0</v>
      </c>
      <c r="G41" s="9"/>
      <c r="H41" s="8"/>
      <c r="I41" s="222"/>
      <c r="J41" s="9"/>
      <c r="K41" s="8"/>
      <c r="L41" s="8" t="s">
        <v>36</v>
      </c>
      <c r="M41" s="222">
        <v>0</v>
      </c>
    </row>
    <row r="42" spans="5:13" s="61" customFormat="1" ht="15" customHeight="1">
      <c r="E42" s="182" t="s">
        <v>38</v>
      </c>
      <c r="F42" s="223">
        <f>SUM(F38:F41)</f>
        <v>431807.08</v>
      </c>
      <c r="G42" s="9"/>
      <c r="H42" s="8"/>
      <c r="I42" s="222"/>
      <c r="J42" s="9"/>
      <c r="K42" s="8"/>
      <c r="L42" s="8" t="s">
        <v>37</v>
      </c>
      <c r="M42" s="222">
        <v>0</v>
      </c>
    </row>
    <row r="43" spans="5:13" s="61" customFormat="1" ht="15" customHeight="1">
      <c r="E43" s="183"/>
      <c r="F43" s="224"/>
      <c r="G43" s="9"/>
      <c r="H43" s="182"/>
      <c r="I43" s="223"/>
      <c r="J43" s="9"/>
      <c r="K43" s="8"/>
      <c r="L43" s="182" t="s">
        <v>38</v>
      </c>
      <c r="M43" s="223">
        <f>SUM(M39:M42)</f>
        <v>339263.31</v>
      </c>
    </row>
    <row r="44" spans="5:13" s="61" customFormat="1" ht="15" customHeight="1">
      <c r="E44" s="183" t="s">
        <v>152</v>
      </c>
      <c r="F44" s="154">
        <v>135000</v>
      </c>
      <c r="G44" s="9"/>
      <c r="H44" s="183"/>
      <c r="I44" s="224"/>
      <c r="J44" s="9"/>
      <c r="K44" s="8"/>
      <c r="L44" s="183"/>
      <c r="M44" s="224"/>
    </row>
    <row r="45" spans="5:13" s="61" customFormat="1" ht="15" customHeight="1">
      <c r="E45" s="183" t="s">
        <v>50</v>
      </c>
      <c r="F45" s="154">
        <v>0</v>
      </c>
      <c r="G45" s="9"/>
      <c r="H45" s="183"/>
      <c r="I45" s="224"/>
      <c r="J45" s="9"/>
      <c r="K45" s="8"/>
      <c r="L45" s="183" t="s">
        <v>152</v>
      </c>
      <c r="M45" s="224">
        <v>135000</v>
      </c>
    </row>
    <row r="46" spans="5:13" s="61" customFormat="1" ht="15" customHeight="1">
      <c r="E46" s="183" t="s">
        <v>81</v>
      </c>
      <c r="F46" s="224">
        <f>372221+3294+46851+1597</f>
        <v>423963</v>
      </c>
      <c r="G46" s="9"/>
      <c r="H46" s="116"/>
      <c r="I46" s="220"/>
      <c r="J46" s="9"/>
      <c r="K46" s="8"/>
      <c r="L46" s="183" t="s">
        <v>69</v>
      </c>
      <c r="M46" s="224">
        <v>60000</v>
      </c>
    </row>
    <row r="47" spans="5:13" s="61" customFormat="1">
      <c r="E47" s="116" t="s">
        <v>24</v>
      </c>
      <c r="F47" s="220">
        <v>0</v>
      </c>
      <c r="G47" s="8"/>
      <c r="H47" s="116"/>
      <c r="I47" s="220"/>
      <c r="J47" s="9"/>
      <c r="K47" s="8"/>
      <c r="L47" s="183" t="s">
        <v>201</v>
      </c>
      <c r="M47" s="224">
        <v>1350000</v>
      </c>
    </row>
    <row r="48" spans="5:13" s="61" customFormat="1">
      <c r="E48" s="116" t="s">
        <v>22</v>
      </c>
      <c r="F48" s="154">
        <v>50000</v>
      </c>
      <c r="G48" s="8"/>
      <c r="H48" s="116"/>
      <c r="I48" s="220"/>
      <c r="J48" s="9"/>
      <c r="K48" s="8"/>
      <c r="L48" s="183" t="s">
        <v>202</v>
      </c>
      <c r="M48" s="224">
        <v>90000</v>
      </c>
    </row>
    <row r="49" spans="5:13" s="61" customFormat="1">
      <c r="E49" s="116" t="s">
        <v>40</v>
      </c>
      <c r="F49" s="154">
        <v>70000</v>
      </c>
      <c r="G49" s="8"/>
      <c r="H49" s="116"/>
      <c r="I49" s="225"/>
      <c r="J49" s="9"/>
      <c r="K49" s="8"/>
      <c r="L49" s="116" t="s">
        <v>24</v>
      </c>
      <c r="M49" s="220">
        <v>0</v>
      </c>
    </row>
    <row r="50" spans="5:13" s="61" customFormat="1">
      <c r="E50" s="118" t="s">
        <v>41</v>
      </c>
      <c r="F50" s="225">
        <f>SUM(F44:F49)</f>
        <v>678963</v>
      </c>
      <c r="G50" s="8"/>
      <c r="H50" s="118"/>
      <c r="I50" s="225"/>
      <c r="J50" s="263"/>
      <c r="K50" s="8"/>
      <c r="L50" s="116" t="s">
        <v>22</v>
      </c>
      <c r="M50" s="220">
        <v>50000</v>
      </c>
    </row>
    <row r="51" spans="5:13" s="61" customFormat="1">
      <c r="E51" s="118" t="s">
        <v>42</v>
      </c>
      <c r="F51" s="225">
        <f>F42-F50</f>
        <v>-247155.91999999998</v>
      </c>
      <c r="G51" s="8"/>
      <c r="H51" s="118"/>
      <c r="I51" s="221"/>
      <c r="J51" s="263"/>
      <c r="K51" s="8"/>
      <c r="L51" s="116" t="s">
        <v>40</v>
      </c>
      <c r="M51" s="226">
        <v>150000</v>
      </c>
    </row>
    <row r="52" spans="5:13" s="61" customFormat="1">
      <c r="E52" s="8"/>
      <c r="F52" s="154"/>
      <c r="G52" s="8"/>
      <c r="H52" s="82"/>
      <c r="I52" s="221"/>
      <c r="J52" s="9"/>
      <c r="K52" s="8"/>
      <c r="L52" s="183" t="s">
        <v>105</v>
      </c>
      <c r="M52" s="220">
        <v>95000</v>
      </c>
    </row>
    <row r="53" spans="5:13" s="61" customFormat="1">
      <c r="E53" s="82" t="s">
        <v>43</v>
      </c>
      <c r="F53" s="80">
        <f>43800+180000</f>
        <v>223800</v>
      </c>
      <c r="G53" s="8"/>
      <c r="H53" s="82"/>
      <c r="I53" s="221"/>
      <c r="J53" s="9"/>
      <c r="K53" s="8"/>
      <c r="L53" s="116" t="s">
        <v>53</v>
      </c>
      <c r="M53" s="226">
        <v>185000</v>
      </c>
    </row>
    <row r="54" spans="5:13" s="61" customFormat="1">
      <c r="E54" s="82" t="s">
        <v>44</v>
      </c>
      <c r="F54" s="80">
        <v>365000</v>
      </c>
      <c r="G54" s="8"/>
      <c r="H54" s="82"/>
      <c r="I54" s="226"/>
      <c r="J54" s="9"/>
      <c r="K54" s="8"/>
      <c r="L54" s="116" t="s">
        <v>116</v>
      </c>
      <c r="M54" s="226">
        <v>30000</v>
      </c>
    </row>
    <row r="55" spans="5:13" s="61" customFormat="1">
      <c r="E55" s="82" t="s">
        <v>45</v>
      </c>
      <c r="F55" s="117">
        <f>250000+125000</f>
        <v>375000</v>
      </c>
      <c r="G55" s="82"/>
      <c r="H55" s="82"/>
      <c r="I55" s="227"/>
      <c r="J55" s="9"/>
      <c r="K55" s="8"/>
      <c r="L55" s="116"/>
      <c r="M55" s="226"/>
    </row>
    <row r="56" spans="5:13" s="61" customFormat="1">
      <c r="E56" s="82" t="s">
        <v>205</v>
      </c>
      <c r="F56" s="117">
        <v>411902.37</v>
      </c>
      <c r="G56" s="82"/>
      <c r="H56" s="82"/>
      <c r="I56" s="227"/>
      <c r="J56" s="9"/>
      <c r="K56" s="8"/>
      <c r="L56" s="116"/>
      <c r="M56" s="226"/>
    </row>
    <row r="57" spans="5:13" s="61" customFormat="1">
      <c r="E57" s="82" t="s">
        <v>206</v>
      </c>
      <c r="F57" s="117"/>
      <c r="G57" s="82"/>
      <c r="H57" s="82"/>
      <c r="I57" s="227"/>
      <c r="J57" s="9"/>
      <c r="K57" s="8"/>
      <c r="L57" s="118" t="s">
        <v>41</v>
      </c>
      <c r="M57" s="225">
        <f>SUM(M45:M54)</f>
        <v>2145000</v>
      </c>
    </row>
    <row r="58" spans="5:13" s="61" customFormat="1">
      <c r="E58" s="118" t="s">
        <v>46</v>
      </c>
      <c r="F58" s="120">
        <f>SUM(F53:F55)</f>
        <v>963800</v>
      </c>
      <c r="G58" s="82"/>
      <c r="H58" s="118"/>
      <c r="I58" s="221"/>
      <c r="J58" s="9"/>
      <c r="K58" s="8"/>
      <c r="L58" s="118" t="s">
        <v>42</v>
      </c>
      <c r="M58" s="227">
        <f>+M43-M57</f>
        <v>-1805736.69</v>
      </c>
    </row>
    <row r="59" spans="5:13" s="61" customFormat="1">
      <c r="E59" s="82"/>
      <c r="F59" s="80"/>
      <c r="G59" s="82"/>
      <c r="H59" s="82"/>
      <c r="I59" s="227"/>
      <c r="J59" s="9"/>
      <c r="K59" s="8"/>
      <c r="L59" s="79"/>
      <c r="M59" s="79"/>
    </row>
    <row r="60" spans="5:13" s="61" customFormat="1">
      <c r="E60" s="118" t="s">
        <v>47</v>
      </c>
      <c r="F60" s="120">
        <f>F51-F58</f>
        <v>-1210955.92</v>
      </c>
      <c r="G60" s="82"/>
      <c r="H60" s="118"/>
      <c r="I60" s="220"/>
      <c r="J60" s="9"/>
      <c r="K60" s="8"/>
      <c r="L60" s="129"/>
      <c r="M60" s="251"/>
    </row>
    <row r="65" spans="4:7">
      <c r="D65" s="383" t="s">
        <v>192</v>
      </c>
      <c r="E65" s="383"/>
      <c r="F65" s="383"/>
      <c r="G65" s="8"/>
    </row>
    <row r="66" spans="4:7">
      <c r="D66" s="247" t="s">
        <v>194</v>
      </c>
      <c r="E66" s="247" t="s">
        <v>193</v>
      </c>
      <c r="F66" s="248" t="s">
        <v>24</v>
      </c>
      <c r="G66" s="8"/>
    </row>
    <row r="67" spans="4:7">
      <c r="D67" s="8" t="s">
        <v>9</v>
      </c>
      <c r="E67" s="249">
        <v>0</v>
      </c>
      <c r="F67" s="250">
        <v>20000</v>
      </c>
      <c r="G67" s="8"/>
    </row>
    <row r="68" spans="4:7">
      <c r="D68" s="8" t="s">
        <v>195</v>
      </c>
      <c r="E68" s="249">
        <f>125838.990762557-125000</f>
        <v>838.99076255700493</v>
      </c>
      <c r="F68" s="250">
        <v>28487.100420091323</v>
      </c>
      <c r="G68" s="8"/>
    </row>
    <row r="69" spans="4:7">
      <c r="D69" s="8" t="s">
        <v>188</v>
      </c>
      <c r="E69" s="249">
        <f>254025.53-250000</f>
        <v>4025.5299999999988</v>
      </c>
      <c r="F69" s="250"/>
      <c r="G69" s="124">
        <f>SUM(E70:F70)</f>
        <v>53351.621182648327</v>
      </c>
    </row>
    <row r="70" spans="4:7">
      <c r="D70" s="8"/>
      <c r="E70" s="124">
        <f>SUM(E67:E69)</f>
        <v>4864.5207625570038</v>
      </c>
      <c r="F70" s="250">
        <f>SUM(F67:F69)</f>
        <v>48487.100420091323</v>
      </c>
      <c r="G70" s="8"/>
    </row>
  </sheetData>
  <mergeCells count="17">
    <mergeCell ref="G27:H27"/>
    <mergeCell ref="B30:D30"/>
    <mergeCell ref="B31:D31"/>
    <mergeCell ref="D65:F65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D3FC7-C6D5-4F5A-ADFF-2ED330B913C4}">
  <dimension ref="A6:M70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2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2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2" ht="15" thickBot="1">
      <c r="A14" s="1"/>
      <c r="B14" s="334" t="s">
        <v>3</v>
      </c>
      <c r="C14" s="335"/>
      <c r="D14" s="336"/>
      <c r="E14" s="17">
        <f>SUM(E15:E17)</f>
        <v>3131717.9</v>
      </c>
      <c r="F14" s="153"/>
      <c r="G14" s="331" t="s">
        <v>4</v>
      </c>
      <c r="H14" s="332"/>
      <c r="I14" s="332"/>
      <c r="J14" s="332"/>
      <c r="K14" s="333"/>
      <c r="L14" s="19"/>
    </row>
    <row r="15" spans="1:12">
      <c r="A15" s="1"/>
      <c r="B15" s="337" t="s">
        <v>5</v>
      </c>
      <c r="C15" s="338"/>
      <c r="D15" s="339"/>
      <c r="E15" s="20">
        <f>J16+J17+J18+J19</f>
        <v>3030344.15</v>
      </c>
      <c r="F15" s="153">
        <f>E15+E16+E17</f>
        <v>3131717.9</v>
      </c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36977.71</v>
      </c>
      <c r="F16" s="153">
        <v>90000</v>
      </c>
      <c r="G16" s="22">
        <v>10049.19</v>
      </c>
      <c r="H16" s="23" t="s">
        <v>8</v>
      </c>
      <c r="I16" s="24"/>
      <c r="J16" s="25">
        <v>10169.81</v>
      </c>
      <c r="K16" s="26" t="s">
        <v>9</v>
      </c>
      <c r="L16" s="13"/>
    </row>
    <row r="17" spans="2:11">
      <c r="B17" s="352" t="s">
        <v>6</v>
      </c>
      <c r="C17" s="353"/>
      <c r="D17" s="354"/>
      <c r="E17" s="28">
        <f>G16+G17+G18</f>
        <v>64396.04</v>
      </c>
      <c r="F17" s="153">
        <f>F15-F16</f>
        <v>3041717.9</v>
      </c>
      <c r="G17" s="22">
        <v>15406.42</v>
      </c>
      <c r="H17" s="29" t="s">
        <v>10</v>
      </c>
      <c r="I17" s="30"/>
      <c r="J17" s="25">
        <v>132503.69</v>
      </c>
      <c r="K17" s="31" t="s">
        <v>10</v>
      </c>
    </row>
    <row r="18" spans="2:11">
      <c r="B18" s="236" t="s">
        <v>187</v>
      </c>
      <c r="C18" s="237"/>
      <c r="D18" s="238"/>
      <c r="E18" s="28">
        <f>+J22</f>
        <v>0</v>
      </c>
      <c r="F18" s="153"/>
      <c r="G18" s="22">
        <v>38940.43</v>
      </c>
      <c r="H18" s="29" t="s">
        <v>12</v>
      </c>
      <c r="I18" s="30"/>
      <c r="J18" s="25">
        <f>3207175.13-375000</f>
        <v>2832175.13</v>
      </c>
      <c r="K18" s="31" t="s">
        <v>12</v>
      </c>
    </row>
    <row r="19" spans="2:11">
      <c r="B19" s="379" t="s">
        <v>11</v>
      </c>
      <c r="C19" s="380"/>
      <c r="D19" s="381"/>
      <c r="E19" s="20">
        <f>G29+G31+G30+G28</f>
        <v>7550.9200000000037</v>
      </c>
      <c r="F19" s="153"/>
      <c r="G19" s="33"/>
      <c r="H19" s="34"/>
      <c r="I19" s="30"/>
      <c r="J19" s="25">
        <v>55495.519999999997</v>
      </c>
      <c r="K19" s="31" t="s">
        <v>14</v>
      </c>
    </row>
    <row r="20" spans="2:11">
      <c r="B20" s="344" t="s">
        <v>13</v>
      </c>
      <c r="C20" s="345"/>
      <c r="D20" s="346"/>
      <c r="E20" s="20">
        <v>19889154.859999999</v>
      </c>
      <c r="F20" s="153"/>
      <c r="G20" s="239"/>
      <c r="H20" s="240"/>
      <c r="I20" s="30"/>
      <c r="J20" s="25"/>
      <c r="K20" s="31"/>
    </row>
    <row r="21" spans="2:11">
      <c r="B21" s="187" t="s">
        <v>15</v>
      </c>
      <c r="C21" s="188"/>
      <c r="D21" s="189"/>
      <c r="E21" s="190">
        <f>SUM(E22:E24)</f>
        <v>3139810.39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1">
      <c r="B22" s="187"/>
      <c r="C22" s="188"/>
      <c r="D22" s="198" t="s">
        <v>207</v>
      </c>
      <c r="E22" s="190">
        <v>3132386.39</v>
      </c>
      <c r="F22" s="153">
        <f>SUM(E25:E31)</f>
        <v>843817.05</v>
      </c>
      <c r="G22" s="44">
        <v>10945.04</v>
      </c>
      <c r="H22" s="29" t="s">
        <v>10</v>
      </c>
      <c r="I22" s="30"/>
      <c r="J22" s="25">
        <v>0</v>
      </c>
      <c r="K22" s="31" t="s">
        <v>188</v>
      </c>
    </row>
    <row r="23" spans="2:11">
      <c r="B23" s="187"/>
      <c r="C23" s="188"/>
      <c r="D23" s="198" t="s">
        <v>208</v>
      </c>
      <c r="E23" s="190">
        <v>7424</v>
      </c>
      <c r="F23" s="153"/>
      <c r="G23" s="44">
        <v>26032.67</v>
      </c>
      <c r="H23" s="29" t="s">
        <v>18</v>
      </c>
      <c r="I23" s="30"/>
      <c r="J23" s="25"/>
      <c r="K23" s="31"/>
    </row>
    <row r="24" spans="2:11" ht="15" thickBot="1">
      <c r="B24" s="206"/>
      <c r="C24" s="205"/>
      <c r="D24" s="208"/>
      <c r="E24" s="190">
        <v>0</v>
      </c>
      <c r="F24" s="153">
        <f>+F17-F22</f>
        <v>2197900.8499999996</v>
      </c>
      <c r="G24" s="51"/>
      <c r="H24" s="34"/>
      <c r="I24" s="30"/>
      <c r="J24" s="210"/>
      <c r="K24" s="53"/>
    </row>
    <row r="25" spans="2:11" ht="15" thickBot="1">
      <c r="B25" s="46" t="s">
        <v>17</v>
      </c>
      <c r="C25" s="47"/>
      <c r="D25" s="48"/>
      <c r="E25" s="234">
        <v>0</v>
      </c>
      <c r="F25" s="153"/>
      <c r="G25" s="331" t="s">
        <v>21</v>
      </c>
      <c r="H25" s="332"/>
      <c r="I25" s="332"/>
      <c r="J25" s="332"/>
      <c r="K25" s="333"/>
    </row>
    <row r="26" spans="2:11">
      <c r="B26" s="202" t="s">
        <v>163</v>
      </c>
      <c r="C26" s="203"/>
      <c r="D26" s="204"/>
      <c r="E26" s="49">
        <v>0</v>
      </c>
      <c r="F26" s="153"/>
      <c r="G26" s="54"/>
      <c r="H26" s="55"/>
      <c r="I26" s="56"/>
      <c r="J26" s="211"/>
      <c r="K26" s="58"/>
    </row>
    <row r="27" spans="2:11">
      <c r="B27" s="199" t="s">
        <v>22</v>
      </c>
      <c r="C27" s="200"/>
      <c r="D27" s="201"/>
      <c r="E27" s="49">
        <v>6399</v>
      </c>
      <c r="F27" s="221"/>
      <c r="G27" s="377" t="s">
        <v>5</v>
      </c>
      <c r="H27" s="378"/>
      <c r="I27" s="59"/>
      <c r="J27" s="60"/>
      <c r="K27" s="45"/>
    </row>
    <row r="28" spans="2:11">
      <c r="B28" s="199" t="s">
        <v>81</v>
      </c>
      <c r="C28" s="200"/>
      <c r="D28" s="201"/>
      <c r="E28" s="49">
        <v>425000</v>
      </c>
      <c r="F28" s="220"/>
      <c r="G28" s="22">
        <f>21853.95-11500-8500</f>
        <v>1853.9500000000007</v>
      </c>
      <c r="H28" s="62" t="s">
        <v>9</v>
      </c>
      <c r="I28" s="59"/>
      <c r="J28" s="60"/>
      <c r="K28" s="45"/>
    </row>
    <row r="29" spans="2:11">
      <c r="B29" s="199" t="s">
        <v>24</v>
      </c>
      <c r="C29" s="200"/>
      <c r="D29" s="201"/>
      <c r="E29" s="49">
        <v>0</v>
      </c>
      <c r="F29" s="219"/>
      <c r="G29" s="22">
        <f>29715.16- 154326.09+125000</f>
        <v>389.07000000000698</v>
      </c>
      <c r="H29" s="62" t="s">
        <v>26</v>
      </c>
      <c r="I29" s="63"/>
      <c r="J29" s="64" t="s">
        <v>27</v>
      </c>
      <c r="K29" s="65" t="s">
        <v>28</v>
      </c>
    </row>
    <row r="30" spans="2:11">
      <c r="B30" s="344" t="s">
        <v>25</v>
      </c>
      <c r="C30" s="345"/>
      <c r="D30" s="346"/>
      <c r="E30" s="49">
        <v>0</v>
      </c>
      <c r="F30" s="219"/>
      <c r="G30" s="67">
        <v>1737.56</v>
      </c>
      <c r="H30" s="68" t="s">
        <v>14</v>
      </c>
      <c r="I30" s="63"/>
      <c r="J30" s="64" t="s">
        <v>30</v>
      </c>
      <c r="K30" s="65" t="s">
        <v>31</v>
      </c>
    </row>
    <row r="31" spans="2:11" ht="15" thickBot="1">
      <c r="B31" s="363" t="s">
        <v>29</v>
      </c>
      <c r="C31" s="364"/>
      <c r="D31" s="365"/>
      <c r="E31" s="66">
        <v>412418.05</v>
      </c>
      <c r="F31" s="219"/>
      <c r="G31" s="71">
        <f>7595.87-254025.53+250000</f>
        <v>3570.3399999999965</v>
      </c>
      <c r="H31" s="72" t="s">
        <v>12</v>
      </c>
      <c r="I31" s="73"/>
      <c r="J31" s="74" t="s">
        <v>32</v>
      </c>
      <c r="K31" s="75" t="s">
        <v>33</v>
      </c>
    </row>
    <row r="36" spans="5:13" s="61" customFormat="1" ht="15" customHeight="1">
      <c r="E36" s="181" t="s">
        <v>199</v>
      </c>
      <c r="F36" s="222"/>
      <c r="G36" s="8"/>
      <c r="H36" s="9"/>
      <c r="I36" s="8"/>
      <c r="J36" s="9"/>
      <c r="K36" s="82"/>
      <c r="L36" s="86"/>
      <c r="M36" s="8"/>
    </row>
    <row r="37" spans="5:13" s="61" customFormat="1" ht="15" customHeight="1">
      <c r="E37" s="181"/>
      <c r="F37" s="222"/>
      <c r="G37" s="181"/>
      <c r="H37" s="181"/>
      <c r="I37" s="222"/>
      <c r="J37" s="9"/>
      <c r="K37" s="82"/>
      <c r="L37" s="181" t="s">
        <v>200</v>
      </c>
      <c r="M37" s="222"/>
    </row>
    <row r="38" spans="5:13" s="61" customFormat="1" ht="15" customHeight="1">
      <c r="E38" s="8" t="s">
        <v>34</v>
      </c>
      <c r="F38" s="222">
        <f>F17</f>
        <v>3041717.9</v>
      </c>
      <c r="G38" s="86"/>
      <c r="H38" s="181"/>
      <c r="I38" s="222"/>
      <c r="J38" s="9"/>
      <c r="K38" s="82"/>
      <c r="L38" s="181"/>
      <c r="M38" s="222"/>
    </row>
    <row r="39" spans="5:13" s="61" customFormat="1" ht="15" customHeight="1">
      <c r="E39" s="8" t="s">
        <v>35</v>
      </c>
      <c r="F39" s="222">
        <f>+E19</f>
        <v>7550.9200000000037</v>
      </c>
      <c r="G39" s="86"/>
      <c r="H39" s="8"/>
      <c r="I39" s="222"/>
      <c r="J39" s="9"/>
      <c r="K39" s="112"/>
      <c r="L39" s="8" t="s">
        <v>34</v>
      </c>
      <c r="M39" s="222">
        <f>+F17</f>
        <v>3041717.9</v>
      </c>
    </row>
    <row r="40" spans="5:13" s="61" customFormat="1" ht="15" customHeight="1">
      <c r="E40" s="8" t="s">
        <v>36</v>
      </c>
      <c r="F40" s="222">
        <f>495000-325000-85000</f>
        <v>85000</v>
      </c>
      <c r="G40" s="86"/>
      <c r="H40" s="8"/>
      <c r="I40" s="213"/>
      <c r="J40" s="9"/>
      <c r="K40" s="113"/>
      <c r="L40" s="8" t="s">
        <v>35</v>
      </c>
      <c r="M40" s="222">
        <v>0</v>
      </c>
    </row>
    <row r="41" spans="5:13" s="61" customFormat="1" ht="15" customHeight="1">
      <c r="E41" s="8" t="s">
        <v>37</v>
      </c>
      <c r="F41" s="222">
        <v>0</v>
      </c>
      <c r="G41" s="9"/>
      <c r="H41" s="8"/>
      <c r="I41" s="222"/>
      <c r="J41" s="9"/>
      <c r="K41" s="8"/>
      <c r="L41" s="8" t="s">
        <v>36</v>
      </c>
      <c r="M41" s="222">
        <v>0</v>
      </c>
    </row>
    <row r="42" spans="5:13" s="61" customFormat="1" ht="15" customHeight="1">
      <c r="E42" s="182" t="s">
        <v>38</v>
      </c>
      <c r="F42" s="223">
        <f>SUM(F38:F41)</f>
        <v>3134268.82</v>
      </c>
      <c r="G42" s="9"/>
      <c r="H42" s="8"/>
      <c r="I42" s="222"/>
      <c r="J42" s="9"/>
      <c r="K42" s="8"/>
      <c r="L42" s="8" t="s">
        <v>37</v>
      </c>
      <c r="M42" s="222">
        <v>0</v>
      </c>
    </row>
    <row r="43" spans="5:13" s="61" customFormat="1" ht="15" customHeight="1">
      <c r="E43" s="183"/>
      <c r="F43" s="224"/>
      <c r="G43" s="9"/>
      <c r="H43" s="182"/>
      <c r="I43" s="223"/>
      <c r="J43" s="9"/>
      <c r="K43" s="8"/>
      <c r="L43" s="182" t="s">
        <v>38</v>
      </c>
      <c r="M43" s="223">
        <f>SUM(M39:M42)</f>
        <v>3041717.9</v>
      </c>
    </row>
    <row r="44" spans="5:13" s="61" customFormat="1" ht="15" customHeight="1">
      <c r="E44" s="183" t="s">
        <v>152</v>
      </c>
      <c r="F44" s="154">
        <v>135000</v>
      </c>
      <c r="G44" s="9"/>
      <c r="H44" s="183"/>
      <c r="I44" s="224"/>
      <c r="J44" s="9"/>
      <c r="K44" s="8"/>
      <c r="L44" s="183"/>
      <c r="M44" s="224"/>
    </row>
    <row r="45" spans="5:13" s="61" customFormat="1" ht="15" customHeight="1">
      <c r="E45" s="183" t="s">
        <v>50</v>
      </c>
      <c r="F45" s="154">
        <v>0</v>
      </c>
      <c r="G45" s="9"/>
      <c r="H45" s="183"/>
      <c r="I45" s="224"/>
      <c r="J45" s="9"/>
      <c r="K45" s="8"/>
      <c r="L45" s="183" t="s">
        <v>152</v>
      </c>
      <c r="M45" s="224">
        <v>135000</v>
      </c>
    </row>
    <row r="46" spans="5:13" s="61" customFormat="1" ht="15" customHeight="1">
      <c r="E46" s="183" t="s">
        <v>81</v>
      </c>
      <c r="F46" s="224">
        <f>372221+3294+46851+1597</f>
        <v>423963</v>
      </c>
      <c r="G46" s="9"/>
      <c r="H46" s="116"/>
      <c r="I46" s="220"/>
      <c r="J46" s="9"/>
      <c r="K46" s="8"/>
      <c r="L46" s="183" t="s">
        <v>69</v>
      </c>
      <c r="M46" s="224">
        <v>60000</v>
      </c>
    </row>
    <row r="47" spans="5:13" s="61" customFormat="1">
      <c r="E47" s="116" t="s">
        <v>24</v>
      </c>
      <c r="F47" s="220">
        <v>0</v>
      </c>
      <c r="G47" s="8"/>
      <c r="H47" s="116"/>
      <c r="I47" s="220"/>
      <c r="J47" s="9"/>
      <c r="K47" s="8"/>
      <c r="L47" s="183" t="s">
        <v>201</v>
      </c>
      <c r="M47" s="224">
        <v>1350000</v>
      </c>
    </row>
    <row r="48" spans="5:13" s="61" customFormat="1">
      <c r="E48" s="116" t="s">
        <v>22</v>
      </c>
      <c r="F48" s="154">
        <v>25000</v>
      </c>
      <c r="G48" s="8"/>
      <c r="H48" s="116"/>
      <c r="I48" s="220"/>
      <c r="J48" s="9"/>
      <c r="K48" s="8"/>
      <c r="L48" s="183" t="s">
        <v>202</v>
      </c>
      <c r="M48" s="224">
        <v>90000</v>
      </c>
    </row>
    <row r="49" spans="5:13" s="61" customFormat="1">
      <c r="E49" s="116" t="s">
        <v>40</v>
      </c>
      <c r="F49" s="154">
        <v>70000</v>
      </c>
      <c r="G49" s="8"/>
      <c r="H49" s="116"/>
      <c r="I49" s="225"/>
      <c r="J49" s="9"/>
      <c r="K49" s="8"/>
      <c r="L49" s="116" t="s">
        <v>24</v>
      </c>
      <c r="M49" s="220">
        <v>0</v>
      </c>
    </row>
    <row r="50" spans="5:13" s="61" customFormat="1">
      <c r="E50" s="118" t="s">
        <v>41</v>
      </c>
      <c r="F50" s="225">
        <f>SUM(F44:F49)</f>
        <v>653963</v>
      </c>
      <c r="G50" s="8"/>
      <c r="H50" s="118"/>
      <c r="I50" s="225"/>
      <c r="J50" s="263"/>
      <c r="K50" s="8"/>
      <c r="L50" s="116" t="s">
        <v>22</v>
      </c>
      <c r="M50" s="220">
        <v>50000</v>
      </c>
    </row>
    <row r="51" spans="5:13" s="61" customFormat="1">
      <c r="E51" s="118" t="s">
        <v>42</v>
      </c>
      <c r="F51" s="225">
        <f>F42-F50</f>
        <v>2480305.8199999998</v>
      </c>
      <c r="G51" s="8"/>
      <c r="H51" s="118"/>
      <c r="I51" s="221"/>
      <c r="J51" s="263"/>
      <c r="K51" s="8"/>
      <c r="L51" s="116" t="s">
        <v>40</v>
      </c>
      <c r="M51" s="226">
        <v>150000</v>
      </c>
    </row>
    <row r="52" spans="5:13" s="61" customFormat="1">
      <c r="E52" s="8"/>
      <c r="F52" s="154"/>
      <c r="G52" s="8"/>
      <c r="H52" s="82"/>
      <c r="I52" s="221"/>
      <c r="J52" s="9"/>
      <c r="K52" s="8"/>
      <c r="L52" s="183" t="s">
        <v>105</v>
      </c>
      <c r="M52" s="220">
        <v>95000</v>
      </c>
    </row>
    <row r="53" spans="5:13" s="61" customFormat="1">
      <c r="E53" s="82" t="s">
        <v>43</v>
      </c>
      <c r="F53" s="80">
        <f>43800+180000</f>
        <v>223800</v>
      </c>
      <c r="G53" s="8"/>
      <c r="H53" s="82"/>
      <c r="I53" s="221"/>
      <c r="J53" s="9"/>
      <c r="K53" s="8"/>
      <c r="L53" s="116" t="s">
        <v>53</v>
      </c>
      <c r="M53" s="226">
        <v>185000</v>
      </c>
    </row>
    <row r="54" spans="5:13" s="61" customFormat="1">
      <c r="E54" s="82" t="s">
        <v>44</v>
      </c>
      <c r="F54" s="80">
        <v>365000</v>
      </c>
      <c r="G54" s="8"/>
      <c r="H54" s="82"/>
      <c r="I54" s="226"/>
      <c r="J54" s="9"/>
      <c r="K54" s="8"/>
      <c r="L54" s="116" t="s">
        <v>116</v>
      </c>
      <c r="M54" s="226">
        <v>30000</v>
      </c>
    </row>
    <row r="55" spans="5:13" s="61" customFormat="1">
      <c r="E55" s="82" t="s">
        <v>45</v>
      </c>
      <c r="F55" s="117">
        <f>250000+125000</f>
        <v>375000</v>
      </c>
      <c r="G55" s="82"/>
      <c r="H55" s="82"/>
      <c r="I55" s="227"/>
      <c r="J55" s="9"/>
      <c r="K55" s="8"/>
      <c r="L55" s="116"/>
      <c r="M55" s="226"/>
    </row>
    <row r="56" spans="5:13" s="61" customFormat="1">
      <c r="E56" s="82" t="s">
        <v>205</v>
      </c>
      <c r="F56" s="117">
        <v>412418.05</v>
      </c>
      <c r="G56" s="82"/>
      <c r="H56" s="82"/>
      <c r="I56" s="227"/>
      <c r="J56" s="9"/>
      <c r="K56" s="8"/>
      <c r="L56" s="116"/>
      <c r="M56" s="226"/>
    </row>
    <row r="57" spans="5:13" s="61" customFormat="1">
      <c r="E57" s="82" t="s">
        <v>206</v>
      </c>
      <c r="F57" s="117"/>
      <c r="G57" s="82"/>
      <c r="H57" s="82"/>
      <c r="I57" s="227"/>
      <c r="J57" s="9"/>
      <c r="K57" s="8"/>
      <c r="L57" s="118" t="s">
        <v>41</v>
      </c>
      <c r="M57" s="225">
        <f>SUM(M45:M54)</f>
        <v>2145000</v>
      </c>
    </row>
    <row r="58" spans="5:13" s="61" customFormat="1">
      <c r="E58" s="118" t="s">
        <v>46</v>
      </c>
      <c r="F58" s="120">
        <f>SUM(F53:F55)</f>
        <v>963800</v>
      </c>
      <c r="G58" s="82"/>
      <c r="H58" s="118"/>
      <c r="I58" s="221"/>
      <c r="J58" s="9"/>
      <c r="K58" s="8"/>
      <c r="L58" s="118" t="s">
        <v>42</v>
      </c>
      <c r="M58" s="227">
        <f>+M43-M57</f>
        <v>896717.89999999991</v>
      </c>
    </row>
    <row r="59" spans="5:13" s="61" customFormat="1">
      <c r="E59" s="82"/>
      <c r="F59" s="80"/>
      <c r="G59" s="82"/>
      <c r="H59" s="82"/>
      <c r="I59" s="227"/>
      <c r="J59" s="9"/>
      <c r="K59" s="8"/>
      <c r="L59" s="79"/>
      <c r="M59" s="79"/>
    </row>
    <row r="60" spans="5:13" s="61" customFormat="1">
      <c r="E60" s="118" t="s">
        <v>47</v>
      </c>
      <c r="F60" s="120">
        <f>F51-F58</f>
        <v>1516505.8199999998</v>
      </c>
      <c r="G60" s="82"/>
      <c r="H60" s="118"/>
      <c r="I60" s="220"/>
      <c r="J60" s="9"/>
      <c r="K60" s="8"/>
      <c r="L60" s="129"/>
      <c r="M60" s="251"/>
    </row>
    <row r="65" spans="4:7">
      <c r="D65" s="383" t="s">
        <v>192</v>
      </c>
      <c r="E65" s="383"/>
      <c r="F65" s="383"/>
      <c r="G65" s="8"/>
    </row>
    <row r="66" spans="4:7">
      <c r="D66" s="247" t="s">
        <v>194</v>
      </c>
      <c r="E66" s="247" t="s">
        <v>193</v>
      </c>
      <c r="F66" s="248" t="s">
        <v>24</v>
      </c>
      <c r="G66" s="8"/>
    </row>
    <row r="67" spans="4:7">
      <c r="D67" s="8" t="s">
        <v>9</v>
      </c>
      <c r="E67" s="249">
        <v>0</v>
      </c>
      <c r="F67" s="250">
        <v>20000</v>
      </c>
      <c r="G67" s="8"/>
    </row>
    <row r="68" spans="4:7">
      <c r="D68" s="8" t="s">
        <v>195</v>
      </c>
      <c r="E68" s="249">
        <f>125838.990762557-125000</f>
        <v>838.99076255700493</v>
      </c>
      <c r="F68" s="250">
        <v>28487.100420091323</v>
      </c>
      <c r="G68" s="8"/>
    </row>
    <row r="69" spans="4:7">
      <c r="D69" s="8" t="s">
        <v>188</v>
      </c>
      <c r="E69" s="249">
        <f>254025.53-250000</f>
        <v>4025.5299999999988</v>
      </c>
      <c r="F69" s="250"/>
      <c r="G69" s="124">
        <f>SUM(E70:F70)</f>
        <v>53351.621182648327</v>
      </c>
    </row>
    <row r="70" spans="4:7">
      <c r="D70" s="8"/>
      <c r="E70" s="124">
        <f>SUM(E67:E69)</f>
        <v>4864.5207625570038</v>
      </c>
      <c r="F70" s="250">
        <f>SUM(F67:F69)</f>
        <v>48487.100420091323</v>
      </c>
      <c r="G70" s="8"/>
    </row>
  </sheetData>
  <mergeCells count="17">
    <mergeCell ref="E10:F10"/>
    <mergeCell ref="B12:E12"/>
    <mergeCell ref="B14:D14"/>
    <mergeCell ref="G14:K14"/>
    <mergeCell ref="B15:D15"/>
    <mergeCell ref="G15:H15"/>
    <mergeCell ref="J15:K15"/>
    <mergeCell ref="G27:H27"/>
    <mergeCell ref="B30:D30"/>
    <mergeCell ref="B31:D31"/>
    <mergeCell ref="D65:F65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6B7A8-1AF7-4606-A583-CEF226D3F05D}">
  <dimension ref="A6:M70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2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2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2" ht="15" thickBot="1">
      <c r="A14" s="1"/>
      <c r="B14" s="334" t="s">
        <v>3</v>
      </c>
      <c r="C14" s="335"/>
      <c r="D14" s="336"/>
      <c r="E14" s="17">
        <f>SUM(E15:E17)</f>
        <v>2286429.6999999997</v>
      </c>
      <c r="F14" s="153"/>
      <c r="G14" s="331" t="s">
        <v>4</v>
      </c>
      <c r="H14" s="332"/>
      <c r="I14" s="332"/>
      <c r="J14" s="332"/>
      <c r="K14" s="333"/>
      <c r="L14" s="19"/>
    </row>
    <row r="15" spans="1:12">
      <c r="A15" s="1"/>
      <c r="B15" s="337" t="s">
        <v>5</v>
      </c>
      <c r="C15" s="338"/>
      <c r="D15" s="339"/>
      <c r="E15" s="20">
        <f>J16+J17+J18+J19</f>
        <v>2191109.2799999998</v>
      </c>
      <c r="F15" s="153">
        <f>E15+E16+E17</f>
        <v>2286429.6999999997</v>
      </c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36977.71</v>
      </c>
      <c r="F16" s="153">
        <v>90000</v>
      </c>
      <c r="G16" s="22">
        <v>10394.86</v>
      </c>
      <c r="H16" s="23" t="s">
        <v>8</v>
      </c>
      <c r="I16" s="24"/>
      <c r="J16" s="25">
        <v>11067.32</v>
      </c>
      <c r="K16" s="26" t="s">
        <v>9</v>
      </c>
      <c r="L16" s="13"/>
    </row>
    <row r="17" spans="2:11">
      <c r="B17" s="352" t="s">
        <v>6</v>
      </c>
      <c r="C17" s="353"/>
      <c r="D17" s="354"/>
      <c r="E17" s="28">
        <f>G16+G17+G18</f>
        <v>58342.71</v>
      </c>
      <c r="F17" s="153">
        <f>F15-F16</f>
        <v>2196429.6999999997</v>
      </c>
      <c r="G17" s="22">
        <v>9007.42</v>
      </c>
      <c r="H17" s="29" t="s">
        <v>10</v>
      </c>
      <c r="I17" s="30"/>
      <c r="J17" s="25">
        <v>11988.69</v>
      </c>
      <c r="K17" s="31" t="s">
        <v>10</v>
      </c>
    </row>
    <row r="18" spans="2:11">
      <c r="B18" s="236" t="s">
        <v>187</v>
      </c>
      <c r="C18" s="237"/>
      <c r="D18" s="238"/>
      <c r="E18" s="28">
        <f>+J22</f>
        <v>0</v>
      </c>
      <c r="F18" s="153"/>
      <c r="G18" s="22">
        <v>38940.43</v>
      </c>
      <c r="H18" s="29" t="s">
        <v>12</v>
      </c>
      <c r="I18" s="30"/>
      <c r="J18" s="25">
        <v>2107175.35</v>
      </c>
      <c r="K18" s="31" t="s">
        <v>12</v>
      </c>
    </row>
    <row r="19" spans="2:11">
      <c r="B19" s="379" t="s">
        <v>11</v>
      </c>
      <c r="C19" s="380"/>
      <c r="D19" s="381"/>
      <c r="E19" s="20">
        <f>G29+G31+G30+G28</f>
        <v>6694.8500000000186</v>
      </c>
      <c r="F19" s="153"/>
      <c r="G19" s="33"/>
      <c r="H19" s="34"/>
      <c r="I19" s="30"/>
      <c r="J19" s="25">
        <v>60877.919999999998</v>
      </c>
      <c r="K19" s="31" t="s">
        <v>14</v>
      </c>
    </row>
    <row r="20" spans="2:11">
      <c r="B20" s="344" t="s">
        <v>13</v>
      </c>
      <c r="C20" s="345"/>
      <c r="D20" s="346"/>
      <c r="E20" s="20">
        <v>20276305.23</v>
      </c>
      <c r="F20" s="153"/>
      <c r="G20" s="239"/>
      <c r="H20" s="240"/>
      <c r="I20" s="30"/>
      <c r="J20" s="25"/>
      <c r="K20" s="31"/>
    </row>
    <row r="21" spans="2:11">
      <c r="B21" s="187" t="s">
        <v>15</v>
      </c>
      <c r="C21" s="188"/>
      <c r="D21" s="189"/>
      <c r="E21" s="190">
        <f>SUM(E22:E24)</f>
        <v>0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1">
      <c r="B22" s="187"/>
      <c r="C22" s="188"/>
      <c r="D22" s="198"/>
      <c r="E22" s="190">
        <v>0</v>
      </c>
      <c r="F22" s="153">
        <f>SUM(E25:E31)</f>
        <v>177125</v>
      </c>
      <c r="G22" s="44">
        <v>10945.04</v>
      </c>
      <c r="H22" s="29" t="s">
        <v>10</v>
      </c>
      <c r="I22" s="30"/>
      <c r="J22" s="25">
        <v>0</v>
      </c>
      <c r="K22" s="31" t="s">
        <v>188</v>
      </c>
    </row>
    <row r="23" spans="2:11">
      <c r="B23" s="187"/>
      <c r="C23" s="188"/>
      <c r="D23" s="198"/>
      <c r="E23" s="190">
        <v>0</v>
      </c>
      <c r="F23" s="153"/>
      <c r="G23" s="44">
        <v>26032.67</v>
      </c>
      <c r="H23" s="29" t="s">
        <v>18</v>
      </c>
      <c r="I23" s="30"/>
      <c r="J23" s="25"/>
      <c r="K23" s="31"/>
    </row>
    <row r="24" spans="2:11" ht="15" thickBot="1">
      <c r="B24" s="206"/>
      <c r="C24" s="205"/>
      <c r="D24" s="208"/>
      <c r="E24" s="190">
        <v>0</v>
      </c>
      <c r="F24" s="153">
        <f>+F17-F22</f>
        <v>2019304.6999999997</v>
      </c>
      <c r="G24" s="51"/>
      <c r="H24" s="34"/>
      <c r="I24" s="30"/>
      <c r="J24" s="210"/>
      <c r="K24" s="53"/>
    </row>
    <row r="25" spans="2:11" ht="15" thickBot="1">
      <c r="B25" s="46" t="s">
        <v>17</v>
      </c>
      <c r="C25" s="47"/>
      <c r="D25" s="48"/>
      <c r="E25" s="234">
        <v>55000</v>
      </c>
      <c r="F25" s="153"/>
      <c r="G25" s="331" t="s">
        <v>21</v>
      </c>
      <c r="H25" s="332"/>
      <c r="I25" s="332"/>
      <c r="J25" s="332"/>
      <c r="K25" s="333"/>
    </row>
    <row r="26" spans="2:11">
      <c r="B26" s="202" t="s">
        <v>163</v>
      </c>
      <c r="C26" s="203"/>
      <c r="D26" s="204"/>
      <c r="E26" s="49">
        <v>120404.4</v>
      </c>
      <c r="F26" s="153"/>
      <c r="G26" s="54"/>
      <c r="H26" s="55"/>
      <c r="I26" s="56"/>
      <c r="J26" s="211"/>
      <c r="K26" s="58"/>
    </row>
    <row r="27" spans="2:11">
      <c r="B27" s="199" t="s">
        <v>22</v>
      </c>
      <c r="C27" s="200"/>
      <c r="D27" s="201"/>
      <c r="E27" s="49">
        <v>1720.6</v>
      </c>
      <c r="F27" s="221"/>
      <c r="G27" s="377" t="s">
        <v>5</v>
      </c>
      <c r="H27" s="378"/>
      <c r="I27" s="59"/>
      <c r="J27" s="60"/>
      <c r="K27" s="45"/>
    </row>
    <row r="28" spans="2:11">
      <c r="B28" s="199" t="s">
        <v>81</v>
      </c>
      <c r="C28" s="200"/>
      <c r="D28" s="201"/>
      <c r="E28" s="49">
        <v>0</v>
      </c>
      <c r="F28" s="220"/>
      <c r="G28" s="22">
        <f>3911.43-11500-8500+17000</f>
        <v>911.43000000000029</v>
      </c>
      <c r="H28" s="62" t="s">
        <v>9</v>
      </c>
      <c r="I28" s="59"/>
      <c r="J28" s="60"/>
      <c r="K28" s="45"/>
    </row>
    <row r="29" spans="2:11">
      <c r="B29" s="199" t="s">
        <v>24</v>
      </c>
      <c r="C29" s="200"/>
      <c r="D29" s="201"/>
      <c r="E29" s="49">
        <v>0</v>
      </c>
      <c r="F29" s="219"/>
      <c r="G29" s="22">
        <f>154732.44- 154326.09</f>
        <v>406.35000000000582</v>
      </c>
      <c r="H29" s="62" t="s">
        <v>26</v>
      </c>
      <c r="I29" s="63"/>
      <c r="J29" s="64" t="s">
        <v>27</v>
      </c>
      <c r="K29" s="65" t="s">
        <v>28</v>
      </c>
    </row>
    <row r="30" spans="2:11">
      <c r="B30" s="344" t="s">
        <v>25</v>
      </c>
      <c r="C30" s="345"/>
      <c r="D30" s="346"/>
      <c r="E30" s="49">
        <v>0</v>
      </c>
      <c r="F30" s="219"/>
      <c r="G30" s="67">
        <v>1737.9</v>
      </c>
      <c r="H30" s="68" t="s">
        <v>14</v>
      </c>
      <c r="I30" s="63"/>
      <c r="J30" s="64" t="s">
        <v>30</v>
      </c>
      <c r="K30" s="65" t="s">
        <v>31</v>
      </c>
    </row>
    <row r="31" spans="2:11" ht="15" thickBot="1">
      <c r="B31" s="363" t="s">
        <v>29</v>
      </c>
      <c r="C31" s="364"/>
      <c r="D31" s="365"/>
      <c r="E31" s="66">
        <v>0</v>
      </c>
      <c r="F31" s="219"/>
      <c r="G31" s="71">
        <f>257664.7-254025.53</f>
        <v>3639.1700000000128</v>
      </c>
      <c r="H31" s="72" t="s">
        <v>12</v>
      </c>
      <c r="I31" s="73"/>
      <c r="J31" s="74" t="s">
        <v>32</v>
      </c>
      <c r="K31" s="75" t="s">
        <v>33</v>
      </c>
    </row>
    <row r="36" spans="5:13" s="61" customFormat="1" ht="15" customHeight="1">
      <c r="E36" s="181" t="s">
        <v>199</v>
      </c>
      <c r="F36" s="222"/>
      <c r="G36" s="8"/>
      <c r="H36" s="9"/>
      <c r="I36" s="8"/>
      <c r="J36" s="9"/>
      <c r="K36" s="82"/>
      <c r="L36" s="86"/>
      <c r="M36" s="8"/>
    </row>
    <row r="37" spans="5:13" s="61" customFormat="1" ht="15" customHeight="1">
      <c r="E37" s="181"/>
      <c r="F37" s="222"/>
      <c r="G37" s="181"/>
      <c r="H37" s="181"/>
      <c r="I37" s="222"/>
      <c r="J37" s="9"/>
      <c r="K37" s="82"/>
      <c r="L37" s="181" t="s">
        <v>200</v>
      </c>
      <c r="M37" s="222"/>
    </row>
    <row r="38" spans="5:13" s="61" customFormat="1" ht="15" customHeight="1">
      <c r="E38" s="8" t="s">
        <v>34</v>
      </c>
      <c r="F38" s="222">
        <f>F17</f>
        <v>2196429.6999999997</v>
      </c>
      <c r="G38" s="86"/>
      <c r="H38" s="181"/>
      <c r="I38" s="222"/>
      <c r="J38" s="9"/>
      <c r="K38" s="82"/>
      <c r="L38" s="181"/>
      <c r="M38" s="222"/>
    </row>
    <row r="39" spans="5:13" s="61" customFormat="1" ht="15" customHeight="1">
      <c r="E39" s="8" t="s">
        <v>35</v>
      </c>
      <c r="F39" s="222">
        <f>+E19</f>
        <v>6694.8500000000186</v>
      </c>
      <c r="G39" s="86"/>
      <c r="H39" s="8"/>
      <c r="I39" s="222"/>
      <c r="J39" s="9"/>
      <c r="K39" s="112"/>
      <c r="L39" s="8" t="s">
        <v>34</v>
      </c>
      <c r="M39" s="222">
        <f>+F17</f>
        <v>2196429.6999999997</v>
      </c>
    </row>
    <row r="40" spans="5:13" s="61" customFormat="1" ht="15" customHeight="1">
      <c r="E40" s="8" t="s">
        <v>36</v>
      </c>
      <c r="F40" s="222">
        <f>495000-325000-85000</f>
        <v>85000</v>
      </c>
      <c r="G40" s="86"/>
      <c r="H40" s="8"/>
      <c r="I40" s="213"/>
      <c r="J40" s="9"/>
      <c r="K40" s="113"/>
      <c r="L40" s="8" t="s">
        <v>35</v>
      </c>
      <c r="M40" s="222">
        <v>0</v>
      </c>
    </row>
    <row r="41" spans="5:13" s="61" customFormat="1" ht="15" customHeight="1">
      <c r="E41" s="8" t="s">
        <v>37</v>
      </c>
      <c r="F41" s="222">
        <v>0</v>
      </c>
      <c r="G41" s="9"/>
      <c r="H41" s="8"/>
      <c r="I41" s="222"/>
      <c r="J41" s="9"/>
      <c r="K41" s="8"/>
      <c r="L41" s="8" t="s">
        <v>36</v>
      </c>
      <c r="M41" s="222">
        <v>0</v>
      </c>
    </row>
    <row r="42" spans="5:13" s="61" customFormat="1" ht="15" customHeight="1">
      <c r="E42" s="182" t="s">
        <v>38</v>
      </c>
      <c r="F42" s="223">
        <f>SUM(F38:F41)</f>
        <v>2288124.5499999998</v>
      </c>
      <c r="G42" s="9"/>
      <c r="H42" s="8"/>
      <c r="I42" s="222"/>
      <c r="J42" s="9"/>
      <c r="K42" s="8"/>
      <c r="L42" s="8" t="s">
        <v>37</v>
      </c>
      <c r="M42" s="222">
        <v>0</v>
      </c>
    </row>
    <row r="43" spans="5:13" s="61" customFormat="1" ht="15" customHeight="1">
      <c r="E43" s="183"/>
      <c r="F43" s="224"/>
      <c r="G43" s="9"/>
      <c r="H43" s="182"/>
      <c r="I43" s="223"/>
      <c r="J43" s="9"/>
      <c r="K43" s="8"/>
      <c r="L43" s="182" t="s">
        <v>38</v>
      </c>
      <c r="M43" s="223">
        <f>SUM(M39:M42)</f>
        <v>2196429.6999999997</v>
      </c>
    </row>
    <row r="44" spans="5:13" s="61" customFormat="1" ht="15" customHeight="1">
      <c r="E44" s="183" t="s">
        <v>152</v>
      </c>
      <c r="F44" s="154">
        <v>135000</v>
      </c>
      <c r="G44" s="9"/>
      <c r="H44" s="183"/>
      <c r="I44" s="224"/>
      <c r="J44" s="9"/>
      <c r="K44" s="8"/>
      <c r="L44" s="183"/>
      <c r="M44" s="224"/>
    </row>
    <row r="45" spans="5:13" s="61" customFormat="1" ht="15" customHeight="1">
      <c r="E45" s="183" t="s">
        <v>50</v>
      </c>
      <c r="F45" s="154">
        <v>0</v>
      </c>
      <c r="G45" s="9"/>
      <c r="H45" s="183"/>
      <c r="I45" s="224"/>
      <c r="J45" s="9"/>
      <c r="K45" s="8"/>
      <c r="L45" s="183" t="s">
        <v>152</v>
      </c>
      <c r="M45" s="224">
        <v>135000</v>
      </c>
    </row>
    <row r="46" spans="5:13" s="61" customFormat="1" ht="15" customHeight="1">
      <c r="E46" s="183" t="s">
        <v>81</v>
      </c>
      <c r="F46" s="224">
        <f>372221+3294+46851+1597</f>
        <v>423963</v>
      </c>
      <c r="G46" s="9"/>
      <c r="H46" s="116"/>
      <c r="I46" s="220"/>
      <c r="J46" s="9"/>
      <c r="K46" s="8"/>
      <c r="L46" s="183" t="s">
        <v>69</v>
      </c>
      <c r="M46" s="224">
        <v>60000</v>
      </c>
    </row>
    <row r="47" spans="5:13" s="61" customFormat="1">
      <c r="E47" s="116" t="s">
        <v>24</v>
      </c>
      <c r="F47" s="220">
        <v>0</v>
      </c>
      <c r="G47" s="8"/>
      <c r="H47" s="116"/>
      <c r="I47" s="220"/>
      <c r="J47" s="9"/>
      <c r="K47" s="8"/>
      <c r="L47" s="183" t="s">
        <v>201</v>
      </c>
      <c r="M47" s="224">
        <v>1350000</v>
      </c>
    </row>
    <row r="48" spans="5:13" s="61" customFormat="1">
      <c r="E48" s="116" t="s">
        <v>22</v>
      </c>
      <c r="F48" s="154">
        <v>25000</v>
      </c>
      <c r="G48" s="8"/>
      <c r="H48" s="116"/>
      <c r="I48" s="220"/>
      <c r="J48" s="9"/>
      <c r="K48" s="8"/>
      <c r="L48" s="183" t="s">
        <v>202</v>
      </c>
      <c r="M48" s="224">
        <v>90000</v>
      </c>
    </row>
    <row r="49" spans="5:13" s="61" customFormat="1">
      <c r="E49" s="116" t="s">
        <v>40</v>
      </c>
      <c r="F49" s="154">
        <v>70000</v>
      </c>
      <c r="G49" s="8"/>
      <c r="H49" s="116"/>
      <c r="I49" s="225"/>
      <c r="J49" s="9"/>
      <c r="K49" s="8"/>
      <c r="L49" s="116" t="s">
        <v>24</v>
      </c>
      <c r="M49" s="220">
        <v>0</v>
      </c>
    </row>
    <row r="50" spans="5:13" s="61" customFormat="1">
      <c r="E50" s="118" t="s">
        <v>41</v>
      </c>
      <c r="F50" s="225">
        <f>SUM(F44:F49)</f>
        <v>653963</v>
      </c>
      <c r="G50" s="8"/>
      <c r="H50" s="118"/>
      <c r="I50" s="225"/>
      <c r="J50" s="263"/>
      <c r="K50" s="8"/>
      <c r="L50" s="116" t="s">
        <v>22</v>
      </c>
      <c r="M50" s="220">
        <v>50000</v>
      </c>
    </row>
    <row r="51" spans="5:13" s="61" customFormat="1">
      <c r="E51" s="118" t="s">
        <v>42</v>
      </c>
      <c r="F51" s="225">
        <f>F42-F50</f>
        <v>1634161.5499999998</v>
      </c>
      <c r="G51" s="8"/>
      <c r="H51" s="118"/>
      <c r="I51" s="221"/>
      <c r="J51" s="263"/>
      <c r="K51" s="8"/>
      <c r="L51" s="116" t="s">
        <v>40</v>
      </c>
      <c r="M51" s="226">
        <v>150000</v>
      </c>
    </row>
    <row r="52" spans="5:13" s="61" customFormat="1">
      <c r="E52" s="8"/>
      <c r="F52" s="154"/>
      <c r="G52" s="8"/>
      <c r="H52" s="82"/>
      <c r="I52" s="221"/>
      <c r="J52" s="9"/>
      <c r="K52" s="8"/>
      <c r="L52" s="183" t="s">
        <v>105</v>
      </c>
      <c r="M52" s="220">
        <v>95000</v>
      </c>
    </row>
    <row r="53" spans="5:13" s="61" customFormat="1">
      <c r="E53" s="82" t="s">
        <v>43</v>
      </c>
      <c r="F53" s="80">
        <f>43800+180000</f>
        <v>223800</v>
      </c>
      <c r="G53" s="8"/>
      <c r="H53" s="82"/>
      <c r="I53" s="221"/>
      <c r="J53" s="9"/>
      <c r="K53" s="8"/>
      <c r="L53" s="116" t="s">
        <v>53</v>
      </c>
      <c r="M53" s="226">
        <v>185000</v>
      </c>
    </row>
    <row r="54" spans="5:13" s="61" customFormat="1">
      <c r="E54" s="82" t="s">
        <v>44</v>
      </c>
      <c r="F54" s="80">
        <v>365000</v>
      </c>
      <c r="G54" s="8"/>
      <c r="H54" s="82"/>
      <c r="I54" s="226"/>
      <c r="J54" s="9"/>
      <c r="K54" s="8"/>
      <c r="L54" s="116" t="s">
        <v>116</v>
      </c>
      <c r="M54" s="226">
        <v>30000</v>
      </c>
    </row>
    <row r="55" spans="5:13" s="61" customFormat="1">
      <c r="E55" s="82" t="s">
        <v>45</v>
      </c>
      <c r="F55" s="117">
        <f>250000+125000</f>
        <v>375000</v>
      </c>
      <c r="G55" s="82"/>
      <c r="H55" s="82"/>
      <c r="I55" s="227"/>
      <c r="J55" s="9"/>
      <c r="K55" s="8"/>
      <c r="L55" s="116"/>
      <c r="M55" s="226"/>
    </row>
    <row r="56" spans="5:13" s="61" customFormat="1">
      <c r="E56" s="82" t="s">
        <v>205</v>
      </c>
      <c r="F56" s="117">
        <v>412418.05</v>
      </c>
      <c r="G56" s="82"/>
      <c r="H56" s="82"/>
      <c r="I56" s="227"/>
      <c r="J56" s="9"/>
      <c r="K56" s="8"/>
      <c r="L56" s="116"/>
      <c r="M56" s="226"/>
    </row>
    <row r="57" spans="5:13" s="61" customFormat="1">
      <c r="E57" s="82" t="s">
        <v>206</v>
      </c>
      <c r="F57" s="117"/>
      <c r="G57" s="82"/>
      <c r="H57" s="82"/>
      <c r="I57" s="227"/>
      <c r="J57" s="9"/>
      <c r="K57" s="8"/>
      <c r="L57" s="118" t="s">
        <v>41</v>
      </c>
      <c r="M57" s="225">
        <f>SUM(M45:M54)</f>
        <v>2145000</v>
      </c>
    </row>
    <row r="58" spans="5:13" s="61" customFormat="1">
      <c r="E58" s="118" t="s">
        <v>46</v>
      </c>
      <c r="F58" s="120">
        <f>SUM(F53:F55)</f>
        <v>963800</v>
      </c>
      <c r="G58" s="82"/>
      <c r="H58" s="118"/>
      <c r="I58" s="221"/>
      <c r="J58" s="9"/>
      <c r="K58" s="8"/>
      <c r="L58" s="118" t="s">
        <v>42</v>
      </c>
      <c r="M58" s="227">
        <f>+M43-M57</f>
        <v>51429.699999999721</v>
      </c>
    </row>
    <row r="59" spans="5:13" s="61" customFormat="1">
      <c r="E59" s="82"/>
      <c r="F59" s="80"/>
      <c r="G59" s="82"/>
      <c r="H59" s="82"/>
      <c r="I59" s="227"/>
      <c r="J59" s="9"/>
      <c r="K59" s="8"/>
      <c r="L59" s="79"/>
      <c r="M59" s="79"/>
    </row>
    <row r="60" spans="5:13" s="61" customFormat="1">
      <c r="E60" s="118" t="s">
        <v>47</v>
      </c>
      <c r="F60" s="120">
        <f>F51-F58</f>
        <v>670361.54999999981</v>
      </c>
      <c r="G60" s="82"/>
      <c r="H60" s="118"/>
      <c r="I60" s="220"/>
      <c r="J60" s="9"/>
      <c r="K60" s="8"/>
      <c r="L60" s="129"/>
      <c r="M60" s="251"/>
    </row>
    <row r="65" spans="4:7">
      <c r="D65" s="383" t="s">
        <v>192</v>
      </c>
      <c r="E65" s="383"/>
      <c r="F65" s="383"/>
      <c r="G65" s="8"/>
    </row>
    <row r="66" spans="4:7">
      <c r="D66" s="247" t="s">
        <v>194</v>
      </c>
      <c r="E66" s="247" t="s">
        <v>193</v>
      </c>
      <c r="F66" s="248" t="s">
        <v>24</v>
      </c>
      <c r="G66" s="8"/>
    </row>
    <row r="67" spans="4:7">
      <c r="D67" s="8" t="s">
        <v>9</v>
      </c>
      <c r="E67" s="249">
        <v>0</v>
      </c>
      <c r="F67" s="250">
        <v>20000</v>
      </c>
      <c r="G67" s="8"/>
    </row>
    <row r="68" spans="4:7">
      <c r="D68" s="8" t="s">
        <v>195</v>
      </c>
      <c r="E68" s="249">
        <f>125838.990762557-125000</f>
        <v>838.99076255700493</v>
      </c>
      <c r="F68" s="250">
        <v>28487.100420091323</v>
      </c>
      <c r="G68" s="8"/>
    </row>
    <row r="69" spans="4:7">
      <c r="D69" s="8" t="s">
        <v>188</v>
      </c>
      <c r="E69" s="249">
        <f>254025.53-250000</f>
        <v>4025.5299999999988</v>
      </c>
      <c r="F69" s="250"/>
      <c r="G69" s="124">
        <f>SUM(E70:F70)</f>
        <v>53351.621182648327</v>
      </c>
    </row>
    <row r="70" spans="4:7">
      <c r="D70" s="8"/>
      <c r="E70" s="124">
        <f>SUM(E67:E69)</f>
        <v>4864.5207625570038</v>
      </c>
      <c r="F70" s="250">
        <f>SUM(F67:F69)</f>
        <v>48487.100420091323</v>
      </c>
      <c r="G70" s="8"/>
    </row>
  </sheetData>
  <mergeCells count="17">
    <mergeCell ref="G27:H27"/>
    <mergeCell ref="B30:D30"/>
    <mergeCell ref="B31:D31"/>
    <mergeCell ref="D65:F65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14659-99C1-4F26-B7AB-5D3606C5AF0B}">
  <dimension ref="B6:P62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79" customWidth="1"/>
    <col min="7" max="7" width="15.7265625" customWidth="1"/>
    <col min="8" max="8" width="19.7265625" customWidth="1"/>
    <col min="9" max="9" width="1.453125" customWidth="1"/>
    <col min="10" max="10" width="24.26953125" customWidth="1"/>
    <col min="11" max="11" width="22.26953125" bestFit="1" customWidth="1"/>
    <col min="12" max="12" width="20.26953125" bestFit="1" customWidth="1"/>
    <col min="13" max="13" width="16.269531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3" s="8" customFormat="1" ht="18">
      <c r="B6" s="5"/>
      <c r="C6" s="5"/>
      <c r="D6" s="5"/>
      <c r="E6" s="6" t="s">
        <v>0</v>
      </c>
      <c r="F6" s="7"/>
      <c r="G6" s="5"/>
      <c r="H6" s="5"/>
      <c r="I6" s="5"/>
      <c r="J6" s="5"/>
      <c r="K6" s="5"/>
    </row>
    <row r="7" spans="2:13">
      <c r="B7" s="1"/>
      <c r="C7" s="1"/>
      <c r="D7" s="1"/>
      <c r="E7" s="1"/>
      <c r="F7" s="2"/>
      <c r="G7" s="1"/>
      <c r="H7" s="1"/>
      <c r="I7" s="1"/>
      <c r="J7" s="1"/>
      <c r="K7" s="1"/>
    </row>
    <row r="8" spans="2:13">
      <c r="B8" s="1"/>
      <c r="C8" s="1"/>
      <c r="D8" s="1"/>
      <c r="E8" s="1"/>
      <c r="F8" s="2"/>
      <c r="G8" s="1"/>
      <c r="H8" s="1"/>
      <c r="I8" s="4"/>
      <c r="J8" s="1"/>
      <c r="K8" s="1"/>
    </row>
    <row r="9" spans="2:13">
      <c r="B9" s="1"/>
      <c r="C9" s="1"/>
      <c r="D9" s="1"/>
      <c r="E9" s="1"/>
      <c r="F9" s="2"/>
      <c r="G9" s="1"/>
      <c r="H9" s="1"/>
      <c r="I9" s="4"/>
      <c r="J9" s="1"/>
      <c r="K9" s="1"/>
    </row>
    <row r="10" spans="2:13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3" ht="15" thickBot="1">
      <c r="B11" s="1"/>
      <c r="C11" s="1"/>
      <c r="D11" s="1"/>
      <c r="E11" s="1"/>
      <c r="F11" s="2"/>
      <c r="G11" s="1"/>
      <c r="H11" s="1"/>
      <c r="I11" s="1"/>
      <c r="J11" s="1"/>
      <c r="K11" s="1"/>
    </row>
    <row r="12" spans="2:13" ht="18" thickBot="1">
      <c r="B12" s="331" t="s">
        <v>2</v>
      </c>
      <c r="C12" s="332"/>
      <c r="D12" s="332"/>
      <c r="E12" s="333"/>
      <c r="F12" s="12"/>
      <c r="G12" s="1"/>
      <c r="H12" s="1"/>
      <c r="I12" s="1"/>
      <c r="J12" s="1"/>
      <c r="K12" s="1"/>
      <c r="L12" s="13"/>
      <c r="M12" t="s">
        <v>20</v>
      </c>
    </row>
    <row r="13" spans="2:13" ht="18" thickBot="1">
      <c r="B13" s="1"/>
      <c r="C13" s="1"/>
      <c r="D13" s="1"/>
      <c r="E13" s="1"/>
      <c r="F13" s="123"/>
      <c r="G13" s="11"/>
      <c r="H13" s="11"/>
      <c r="I13" s="11"/>
      <c r="J13" s="15"/>
      <c r="K13" s="16"/>
      <c r="L13" s="13"/>
    </row>
    <row r="14" spans="2:13" ht="15" thickBot="1">
      <c r="B14" s="334" t="s">
        <v>3</v>
      </c>
      <c r="C14" s="335"/>
      <c r="D14" s="336"/>
      <c r="E14" s="17">
        <f>SUM(E15:E17)</f>
        <v>633906.98</v>
      </c>
      <c r="F14" s="107"/>
      <c r="G14" s="331" t="s">
        <v>4</v>
      </c>
      <c r="H14" s="332"/>
      <c r="I14" s="332"/>
      <c r="J14" s="332"/>
      <c r="K14" s="333"/>
      <c r="L14" s="19"/>
    </row>
    <row r="15" spans="2:13">
      <c r="B15" s="337" t="s">
        <v>5</v>
      </c>
      <c r="C15" s="338"/>
      <c r="D15" s="339"/>
      <c r="E15" s="20">
        <f>J16+J17+J18+J19</f>
        <v>146458.47999999998</v>
      </c>
      <c r="F15" s="108">
        <f>E15+E16+E17</f>
        <v>633906.98</v>
      </c>
      <c r="G15" s="340" t="s">
        <v>6</v>
      </c>
      <c r="H15" s="341"/>
      <c r="I15" s="21"/>
      <c r="J15" s="342" t="s">
        <v>5</v>
      </c>
      <c r="K15" s="343"/>
      <c r="L15" s="13"/>
    </row>
    <row r="16" spans="2:13">
      <c r="B16" s="349" t="s">
        <v>7</v>
      </c>
      <c r="C16" s="350"/>
      <c r="D16" s="351"/>
      <c r="E16" s="20">
        <f>G21+G22</f>
        <v>23368.949999999997</v>
      </c>
      <c r="F16" s="108">
        <v>90000</v>
      </c>
      <c r="G16" s="22">
        <v>12592.59</v>
      </c>
      <c r="H16" s="23" t="s">
        <v>8</v>
      </c>
      <c r="I16" s="24"/>
      <c r="J16" s="25">
        <v>50256.68</v>
      </c>
      <c r="K16" s="26" t="s">
        <v>9</v>
      </c>
      <c r="L16" s="13"/>
    </row>
    <row r="17" spans="2:14">
      <c r="B17" s="352" t="s">
        <v>6</v>
      </c>
      <c r="C17" s="353"/>
      <c r="D17" s="354"/>
      <c r="E17" s="28">
        <f>G16+G17+G18</f>
        <v>464079.55000000005</v>
      </c>
      <c r="F17" s="108">
        <f>F15-F16</f>
        <v>543906.98</v>
      </c>
      <c r="G17" s="22">
        <v>430550.02</v>
      </c>
      <c r="H17" s="29" t="s">
        <v>10</v>
      </c>
      <c r="I17" s="30"/>
      <c r="J17" s="25">
        <v>14828.71</v>
      </c>
      <c r="K17" s="31" t="s">
        <v>10</v>
      </c>
      <c r="L17" s="13"/>
    </row>
    <row r="18" spans="2:14">
      <c r="B18" s="355" t="s">
        <v>11</v>
      </c>
      <c r="C18" s="356"/>
      <c r="D18" s="357"/>
      <c r="E18" s="20">
        <f>G28+G30+G29+G27</f>
        <v>2512073.7399999998</v>
      </c>
      <c r="F18" s="109"/>
      <c r="G18" s="22">
        <v>20936.939999999999</v>
      </c>
      <c r="H18" s="29" t="s">
        <v>12</v>
      </c>
      <c r="I18" s="30"/>
      <c r="J18" s="25">
        <v>70738.7</v>
      </c>
      <c r="K18" s="31" t="s">
        <v>12</v>
      </c>
      <c r="L18" s="32"/>
    </row>
    <row r="19" spans="2:14">
      <c r="B19" s="344" t="s">
        <v>13</v>
      </c>
      <c r="C19" s="345"/>
      <c r="D19" s="346"/>
      <c r="E19" s="20">
        <v>19338166.829999998</v>
      </c>
      <c r="F19" s="108"/>
      <c r="G19" s="33"/>
      <c r="H19" s="34"/>
      <c r="I19" s="30"/>
      <c r="J19" s="25">
        <v>10634.39</v>
      </c>
      <c r="K19" s="31" t="s">
        <v>14</v>
      </c>
      <c r="L19" s="13"/>
    </row>
    <row r="20" spans="2:14">
      <c r="B20" s="358" t="s">
        <v>15</v>
      </c>
      <c r="C20" s="359"/>
      <c r="D20" s="360"/>
      <c r="E20" s="35">
        <f>SUM(E21:E23)</f>
        <v>437127.34</v>
      </c>
      <c r="F20" s="14"/>
      <c r="G20" s="361" t="s">
        <v>16</v>
      </c>
      <c r="H20" s="362"/>
      <c r="I20" s="36"/>
      <c r="J20" s="37"/>
      <c r="K20" s="38"/>
      <c r="L20" s="39"/>
    </row>
    <row r="21" spans="2:14">
      <c r="B21" s="40"/>
      <c r="C21" s="41"/>
      <c r="D21" s="41" t="s">
        <v>70</v>
      </c>
      <c r="E21" s="43">
        <v>399143.38</v>
      </c>
      <c r="F21" s="14"/>
      <c r="G21" s="44">
        <v>11401.56</v>
      </c>
      <c r="H21" s="29" t="s">
        <v>10</v>
      </c>
      <c r="I21" s="30"/>
      <c r="J21" s="37"/>
      <c r="K21" s="45"/>
      <c r="L21" s="39"/>
    </row>
    <row r="22" spans="2:14">
      <c r="B22" s="40"/>
      <c r="C22" s="41"/>
      <c r="D22" s="41" t="s">
        <v>70</v>
      </c>
      <c r="E22" s="43">
        <v>37983.96</v>
      </c>
      <c r="F22" s="14"/>
      <c r="G22" s="44">
        <v>11967.39</v>
      </c>
      <c r="H22" s="29" t="s">
        <v>18</v>
      </c>
      <c r="I22" s="30"/>
      <c r="J22" s="50"/>
      <c r="K22" s="38"/>
      <c r="L22" s="39"/>
    </row>
    <row r="23" spans="2:14" ht="15" thickBot="1">
      <c r="B23" s="40"/>
      <c r="C23" s="41"/>
      <c r="D23" s="122"/>
      <c r="E23" s="43">
        <v>0</v>
      </c>
      <c r="F23" s="14"/>
      <c r="G23" s="51"/>
      <c r="H23" s="34"/>
      <c r="I23" s="30"/>
      <c r="J23" s="52"/>
      <c r="K23" s="53"/>
      <c r="L23" s="39"/>
      <c r="N23" t="s">
        <v>20</v>
      </c>
    </row>
    <row r="24" spans="2:14" ht="15" thickBot="1">
      <c r="B24" s="46" t="s">
        <v>17</v>
      </c>
      <c r="C24" s="47"/>
      <c r="D24" s="48"/>
      <c r="E24" s="49">
        <v>0</v>
      </c>
      <c r="F24" s="14"/>
      <c r="G24" s="331" t="s">
        <v>21</v>
      </c>
      <c r="H24" s="332"/>
      <c r="I24" s="332"/>
      <c r="J24" s="332"/>
      <c r="K24" s="333"/>
      <c r="L24" s="39"/>
    </row>
    <row r="25" spans="2:14">
      <c r="B25" s="366" t="s">
        <v>58</v>
      </c>
      <c r="C25" s="367"/>
      <c r="D25" s="368"/>
      <c r="E25" s="49">
        <v>75000</v>
      </c>
      <c r="F25" s="8"/>
      <c r="G25" s="54"/>
      <c r="H25" s="55"/>
      <c r="I25" s="56"/>
      <c r="J25" s="57"/>
      <c r="K25" s="58"/>
      <c r="L25" s="39"/>
    </row>
    <row r="26" spans="2:14">
      <c r="B26" s="344" t="s">
        <v>59</v>
      </c>
      <c r="C26" s="345"/>
      <c r="D26" s="346"/>
      <c r="E26" s="49">
        <v>0</v>
      </c>
      <c r="F26" s="8"/>
      <c r="G26" s="347" t="s">
        <v>5</v>
      </c>
      <c r="H26" s="348"/>
      <c r="I26" s="59"/>
      <c r="J26" s="60"/>
      <c r="K26" s="45"/>
      <c r="L26" s="61"/>
    </row>
    <row r="27" spans="2:14">
      <c r="B27" s="344" t="s">
        <v>22</v>
      </c>
      <c r="C27" s="345"/>
      <c r="D27" s="346"/>
      <c r="E27" s="49">
        <v>200000</v>
      </c>
      <c r="F27" s="9">
        <v>0</v>
      </c>
      <c r="G27" s="22">
        <f>31565.64-11500</f>
        <v>20065.64</v>
      </c>
      <c r="H27" s="62" t="s">
        <v>9</v>
      </c>
      <c r="I27" s="59"/>
      <c r="J27" s="60"/>
      <c r="K27" s="45"/>
      <c r="L27" s="61"/>
    </row>
    <row r="28" spans="2:14">
      <c r="B28" s="344" t="s">
        <v>64</v>
      </c>
      <c r="C28" s="345"/>
      <c r="D28" s="346"/>
      <c r="E28" s="49">
        <v>0</v>
      </c>
      <c r="F28" s="14">
        <v>20000</v>
      </c>
      <c r="G28" s="22">
        <v>42049.69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4">
      <c r="B29" s="344" t="s">
        <v>24</v>
      </c>
      <c r="C29" s="345"/>
      <c r="D29" s="346"/>
      <c r="E29" s="49">
        <v>0</v>
      </c>
      <c r="F29" s="14">
        <v>40000</v>
      </c>
      <c r="G29" s="67">
        <v>31304.799999999999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4" ht="15" thickBot="1">
      <c r="B30" s="344" t="s">
        <v>25</v>
      </c>
      <c r="C30" s="345"/>
      <c r="D30" s="346"/>
      <c r="E30" s="49">
        <v>0</v>
      </c>
      <c r="F30" s="14">
        <v>30000</v>
      </c>
      <c r="G30" s="71">
        <v>2418653.61</v>
      </c>
      <c r="H30" s="72" t="s">
        <v>12</v>
      </c>
      <c r="I30" s="73"/>
      <c r="J30" s="74" t="s">
        <v>32</v>
      </c>
      <c r="K30" s="75" t="s">
        <v>33</v>
      </c>
      <c r="L30" s="61"/>
    </row>
    <row r="31" spans="2:14" ht="15" thickBot="1">
      <c r="B31" s="363" t="s">
        <v>29</v>
      </c>
      <c r="C31" s="364"/>
      <c r="D31" s="365"/>
      <c r="E31" s="66">
        <v>0</v>
      </c>
      <c r="F31" s="14">
        <v>2400000</v>
      </c>
      <c r="G31" s="76"/>
      <c r="H31" s="76"/>
      <c r="I31" s="76"/>
      <c r="J31" s="76"/>
      <c r="K31" s="1"/>
      <c r="L31" s="77"/>
    </row>
    <row r="32" spans="2:14">
      <c r="B32" s="69"/>
      <c r="C32" s="69"/>
      <c r="D32" s="70"/>
      <c r="E32" s="101"/>
      <c r="F32" s="124">
        <f>SUM(F27:F31)</f>
        <v>2490000</v>
      </c>
    </row>
    <row r="35" spans="5:7">
      <c r="E35" s="110" t="s">
        <v>66</v>
      </c>
      <c r="F35" s="110"/>
    </row>
    <row r="36" spans="5:7">
      <c r="E36" s="110"/>
      <c r="F36" s="110"/>
    </row>
    <row r="37" spans="5:7">
      <c r="E37" s="82" t="s">
        <v>34</v>
      </c>
      <c r="F37" s="86">
        <f>F17</f>
        <v>543906.98</v>
      </c>
    </row>
    <row r="38" spans="5:7" s="61" customFormat="1" ht="15" customHeight="1">
      <c r="E38" s="82" t="s">
        <v>35</v>
      </c>
      <c r="F38" s="86">
        <f>+F32</f>
        <v>2490000</v>
      </c>
      <c r="G38" s="8"/>
    </row>
    <row r="39" spans="5:7" s="61" customFormat="1" ht="15" customHeight="1">
      <c r="E39" s="82" t="s">
        <v>36</v>
      </c>
      <c r="F39" s="86">
        <v>0</v>
      </c>
      <c r="G39" s="86"/>
    </row>
    <row r="40" spans="5:7" s="61" customFormat="1" ht="15" customHeight="1">
      <c r="E40" s="82" t="s">
        <v>37</v>
      </c>
      <c r="F40" s="86">
        <v>0</v>
      </c>
      <c r="G40" s="86"/>
    </row>
    <row r="41" spans="5:7" s="61" customFormat="1" ht="15" customHeight="1">
      <c r="E41" s="112" t="s">
        <v>38</v>
      </c>
      <c r="F41" s="111">
        <f>SUM(F37:F40)</f>
        <v>3033906.98</v>
      </c>
      <c r="G41" s="86"/>
    </row>
    <row r="42" spans="5:7" s="61" customFormat="1" ht="15" customHeight="1">
      <c r="E42" s="113"/>
      <c r="F42" s="94"/>
      <c r="G42" s="9"/>
    </row>
    <row r="43" spans="5:7" s="61" customFormat="1" ht="15" customHeight="1">
      <c r="E43" s="114" t="s">
        <v>65</v>
      </c>
      <c r="F43" s="94">
        <v>75000</v>
      </c>
      <c r="G43" s="9"/>
    </row>
    <row r="44" spans="5:7" s="61" customFormat="1" ht="15" customHeight="1">
      <c r="E44" s="113" t="s">
        <v>67</v>
      </c>
      <c r="F44" s="94">
        <v>1450000</v>
      </c>
      <c r="G44" s="9"/>
    </row>
    <row r="45" spans="5:7" s="61" customFormat="1" ht="15" customHeight="1">
      <c r="E45" s="115" t="s">
        <v>68</v>
      </c>
      <c r="F45" s="94">
        <v>67500</v>
      </c>
      <c r="G45" s="94">
        <v>810000</v>
      </c>
    </row>
    <row r="46" spans="5:7" s="61" customFormat="1" ht="15" customHeight="1">
      <c r="E46" s="116" t="s">
        <v>24</v>
      </c>
      <c r="F46" s="117">
        <v>0</v>
      </c>
      <c r="G46" s="9"/>
    </row>
    <row r="47" spans="5:7" s="61" customFormat="1" ht="15" customHeight="1">
      <c r="E47" s="116" t="s">
        <v>39</v>
      </c>
      <c r="F47" s="117">
        <v>2000</v>
      </c>
      <c r="G47" s="9"/>
    </row>
    <row r="48" spans="5:7" s="61" customFormat="1" ht="15" customHeight="1">
      <c r="E48" s="116" t="s">
        <v>22</v>
      </c>
      <c r="F48" s="117">
        <f>50000+200000</f>
        <v>250000</v>
      </c>
      <c r="G48" s="9"/>
    </row>
    <row r="49" spans="5:7" s="61" customFormat="1" ht="15" customHeight="1">
      <c r="E49" s="116" t="s">
        <v>69</v>
      </c>
      <c r="F49" s="117">
        <v>58322</v>
      </c>
      <c r="G49" s="9"/>
    </row>
    <row r="50" spans="5:7" s="61" customFormat="1" ht="15" customHeight="1">
      <c r="E50" s="116" t="s">
        <v>52</v>
      </c>
      <c r="F50" s="117">
        <v>0</v>
      </c>
      <c r="G50" s="9"/>
    </row>
    <row r="51" spans="5:7" s="61" customFormat="1" ht="15" customHeight="1">
      <c r="E51" s="116" t="s">
        <v>54</v>
      </c>
      <c r="F51" s="117">
        <v>0</v>
      </c>
      <c r="G51" s="9"/>
    </row>
    <row r="52" spans="5:7" s="61" customFormat="1" ht="15" customHeight="1">
      <c r="E52" s="116" t="s">
        <v>55</v>
      </c>
      <c r="F52" s="117">
        <v>0</v>
      </c>
      <c r="G52" s="9"/>
    </row>
    <row r="53" spans="5:7" s="61" customFormat="1" ht="15" customHeight="1">
      <c r="E53" s="116" t="s">
        <v>40</v>
      </c>
      <c r="F53" s="94">
        <f>100000-50000</f>
        <v>50000</v>
      </c>
      <c r="G53" s="82"/>
    </row>
    <row r="54" spans="5:7" s="61" customFormat="1" ht="15" customHeight="1">
      <c r="E54" s="118" t="s">
        <v>41</v>
      </c>
      <c r="F54" s="119">
        <f>SUM(F43:F53)</f>
        <v>1952822</v>
      </c>
      <c r="G54" s="82"/>
    </row>
    <row r="55" spans="5:7" s="61" customFormat="1" ht="15" customHeight="1">
      <c r="E55" s="118" t="s">
        <v>42</v>
      </c>
      <c r="F55" s="119">
        <f>F41-F54</f>
        <v>1081084.98</v>
      </c>
      <c r="G55" s="8"/>
    </row>
    <row r="56" spans="5:7" s="61" customFormat="1">
      <c r="E56" s="82"/>
      <c r="F56" s="82"/>
      <c r="G56" s="8"/>
    </row>
    <row r="57" spans="5:7" s="61" customFormat="1">
      <c r="E57" s="82" t="s">
        <v>43</v>
      </c>
      <c r="F57" s="81">
        <f>43800+180000</f>
        <v>223800</v>
      </c>
      <c r="G57" s="8"/>
    </row>
    <row r="58" spans="5:7" s="61" customFormat="1">
      <c r="E58" s="82" t="s">
        <v>44</v>
      </c>
      <c r="F58" s="81">
        <v>0</v>
      </c>
      <c r="G58" s="8"/>
    </row>
    <row r="59" spans="5:7" s="61" customFormat="1">
      <c r="E59" s="82" t="s">
        <v>45</v>
      </c>
      <c r="F59" s="117">
        <v>0</v>
      </c>
      <c r="G59" s="8"/>
    </row>
    <row r="60" spans="5:7" s="61" customFormat="1">
      <c r="E60" s="118" t="s">
        <v>46</v>
      </c>
      <c r="F60" s="120">
        <f>SUM(F57:F59)</f>
        <v>223800</v>
      </c>
      <c r="G60" s="8"/>
    </row>
    <row r="61" spans="5:7" s="61" customFormat="1">
      <c r="E61" s="82"/>
      <c r="F61" s="82"/>
      <c r="G61" s="8"/>
    </row>
    <row r="62" spans="5:7" s="61" customFormat="1">
      <c r="E62" s="118" t="s">
        <v>47</v>
      </c>
      <c r="F62" s="121">
        <f>F55-F60</f>
        <v>857284.98</v>
      </c>
      <c r="G62" s="8"/>
    </row>
  </sheetData>
  <mergeCells count="22"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  <mergeCell ref="B29:D29"/>
    <mergeCell ref="B30:D30"/>
    <mergeCell ref="B31:D31"/>
    <mergeCell ref="B25:D25"/>
    <mergeCell ref="G24:K24"/>
    <mergeCell ref="B26:D26"/>
    <mergeCell ref="B27:D27"/>
    <mergeCell ref="G26:H26"/>
    <mergeCell ref="B28:D28"/>
  </mergeCells>
  <pageMargins left="0.7" right="0.7" top="0.75" bottom="0.75" header="0.3" footer="0.3"/>
  <drawing r:id="rId1"/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F1A87-3FC3-4FE3-821D-CCCB30160D80}">
  <dimension ref="A6:M75"/>
  <sheetViews>
    <sheetView showGridLines="0" topLeftCell="A9" workbookViewId="0">
      <selection activeCell="A9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2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2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2" ht="15" thickBot="1">
      <c r="A14" s="1"/>
      <c r="B14" s="334" t="s">
        <v>3</v>
      </c>
      <c r="C14" s="335"/>
      <c r="D14" s="336"/>
      <c r="E14" s="17">
        <f>SUM(E15:E17)</f>
        <v>2389545.63</v>
      </c>
      <c r="F14" s="150"/>
      <c r="G14" s="331" t="s">
        <v>4</v>
      </c>
      <c r="H14" s="332"/>
      <c r="I14" s="332"/>
      <c r="J14" s="332"/>
      <c r="K14" s="333"/>
      <c r="L14" s="19"/>
    </row>
    <row r="15" spans="1:12">
      <c r="A15" s="1"/>
      <c r="B15" s="337" t="s">
        <v>5</v>
      </c>
      <c r="C15" s="338"/>
      <c r="D15" s="339"/>
      <c r="E15" s="20">
        <f>J16+J17+J18+J19</f>
        <v>2212642.5299999998</v>
      </c>
      <c r="F15" s="153">
        <f>E15+E16+E17</f>
        <v>2389545.63</v>
      </c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40856.31</v>
      </c>
      <c r="F16" s="153">
        <v>90000</v>
      </c>
      <c r="G16" s="22">
        <v>10394.86</v>
      </c>
      <c r="H16" s="23" t="s">
        <v>8</v>
      </c>
      <c r="I16" s="24"/>
      <c r="J16" s="25">
        <f>88395.24-20000</f>
        <v>68395.240000000005</v>
      </c>
      <c r="K16" s="26" t="s">
        <v>9</v>
      </c>
      <c r="L16" s="13"/>
    </row>
    <row r="17" spans="2:11">
      <c r="B17" s="352" t="s">
        <v>6</v>
      </c>
      <c r="C17" s="353"/>
      <c r="D17" s="354"/>
      <c r="E17" s="28">
        <f>G16+G17+G18</f>
        <v>136046.79</v>
      </c>
      <c r="F17" s="153">
        <f>F15-F16</f>
        <v>2299545.63</v>
      </c>
      <c r="G17" s="22">
        <v>105539.25</v>
      </c>
      <c r="H17" s="29" t="s">
        <v>10</v>
      </c>
      <c r="I17" s="30"/>
      <c r="J17" s="25">
        <v>11390.89</v>
      </c>
      <c r="K17" s="31" t="s">
        <v>10</v>
      </c>
    </row>
    <row r="18" spans="2:11">
      <c r="B18" s="236" t="s">
        <v>187</v>
      </c>
      <c r="C18" s="237"/>
      <c r="D18" s="238"/>
      <c r="E18" s="28">
        <f>+J22</f>
        <v>0</v>
      </c>
      <c r="F18" s="153"/>
      <c r="G18" s="22">
        <v>20112.68</v>
      </c>
      <c r="H18" s="29" t="s">
        <v>12</v>
      </c>
      <c r="I18" s="30"/>
      <c r="J18" s="25">
        <v>2076674.88</v>
      </c>
      <c r="K18" s="31" t="s">
        <v>12</v>
      </c>
    </row>
    <row r="19" spans="2:11">
      <c r="B19" s="379" t="s">
        <v>11</v>
      </c>
      <c r="C19" s="380"/>
      <c r="D19" s="381"/>
      <c r="E19" s="20">
        <f>G29+G31+G30+G28</f>
        <v>9943.8200000000015</v>
      </c>
      <c r="F19" s="153"/>
      <c r="G19" s="33"/>
      <c r="H19" s="34"/>
      <c r="I19" s="30"/>
      <c r="J19" s="25">
        <v>56181.52</v>
      </c>
      <c r="K19" s="31" t="s">
        <v>14</v>
      </c>
    </row>
    <row r="20" spans="2:11">
      <c r="B20" s="344" t="s">
        <v>13</v>
      </c>
      <c r="C20" s="345"/>
      <c r="D20" s="346"/>
      <c r="E20" s="20">
        <v>20491606.809999999</v>
      </c>
      <c r="F20" s="153"/>
      <c r="G20" s="239"/>
      <c r="H20" s="240"/>
      <c r="I20" s="30"/>
      <c r="J20" s="25"/>
      <c r="K20" s="31"/>
    </row>
    <row r="21" spans="2:11">
      <c r="B21" s="187" t="s">
        <v>15</v>
      </c>
      <c r="C21" s="188"/>
      <c r="D21" s="189"/>
      <c r="E21" s="190">
        <f>SUM(E22:E24)</f>
        <v>231113.84999999998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1">
      <c r="B22" s="187"/>
      <c r="C22" s="188"/>
      <c r="D22" s="198" t="s">
        <v>209</v>
      </c>
      <c r="E22" s="190">
        <v>82099</v>
      </c>
      <c r="F22" s="153">
        <f>SUM(E25:E31)</f>
        <v>131436.69</v>
      </c>
      <c r="G22" s="44">
        <v>14823.64</v>
      </c>
      <c r="H22" s="29" t="s">
        <v>10</v>
      </c>
      <c r="I22" s="30"/>
      <c r="J22" s="25">
        <v>0</v>
      </c>
      <c r="K22" s="31" t="s">
        <v>188</v>
      </c>
    </row>
    <row r="23" spans="2:11">
      <c r="B23" s="187"/>
      <c r="C23" s="188"/>
      <c r="D23" s="198" t="s">
        <v>120</v>
      </c>
      <c r="E23" s="190">
        <v>71686.929999999993</v>
      </c>
      <c r="F23" s="153"/>
      <c r="G23" s="44">
        <v>26032.67</v>
      </c>
      <c r="H23" s="29" t="s">
        <v>18</v>
      </c>
      <c r="I23" s="30"/>
      <c r="J23" s="25"/>
      <c r="K23" s="31"/>
    </row>
    <row r="24" spans="2:11" ht="15" thickBot="1">
      <c r="B24" s="206"/>
      <c r="C24" s="205"/>
      <c r="D24" s="208" t="s">
        <v>209</v>
      </c>
      <c r="E24" s="190">
        <v>77327.92</v>
      </c>
      <c r="F24" s="153">
        <f>+F17-F22</f>
        <v>2168108.94</v>
      </c>
      <c r="G24" s="51"/>
      <c r="H24" s="34"/>
      <c r="I24" s="30"/>
      <c r="J24" s="210"/>
      <c r="K24" s="53"/>
    </row>
    <row r="25" spans="2:11" ht="15" thickBot="1">
      <c r="B25" s="46" t="s">
        <v>17</v>
      </c>
      <c r="C25" s="47"/>
      <c r="D25" s="48"/>
      <c r="E25" s="234">
        <v>57567.89</v>
      </c>
      <c r="F25" s="153"/>
      <c r="G25" s="331" t="s">
        <v>21</v>
      </c>
      <c r="H25" s="332"/>
      <c r="I25" s="332"/>
      <c r="J25" s="332"/>
      <c r="K25" s="333"/>
    </row>
    <row r="26" spans="2:11">
      <c r="B26" s="202" t="s">
        <v>163</v>
      </c>
      <c r="C26" s="203"/>
      <c r="D26" s="204"/>
      <c r="E26" s="49">
        <v>0</v>
      </c>
      <c r="F26" s="153"/>
      <c r="G26" s="54"/>
      <c r="H26" s="55"/>
      <c r="I26" s="56"/>
      <c r="J26" s="211"/>
      <c r="K26" s="58"/>
    </row>
    <row r="27" spans="2:11">
      <c r="B27" s="199" t="s">
        <v>22</v>
      </c>
      <c r="C27" s="200"/>
      <c r="D27" s="201"/>
      <c r="E27" s="49">
        <v>8868.7999999999993</v>
      </c>
      <c r="F27" s="221"/>
      <c r="G27" s="377" t="s">
        <v>5</v>
      </c>
      <c r="H27" s="378"/>
      <c r="I27" s="59"/>
      <c r="J27" s="60"/>
      <c r="K27" s="45"/>
    </row>
    <row r="28" spans="2:11">
      <c r="B28" s="199" t="s">
        <v>105</v>
      </c>
      <c r="C28" s="200"/>
      <c r="D28" s="201"/>
      <c r="E28" s="49">
        <v>65000</v>
      </c>
      <c r="F28" s="220"/>
      <c r="G28" s="22">
        <f>23911.43-11500-8500</f>
        <v>3911.4300000000003</v>
      </c>
      <c r="H28" s="62" t="s">
        <v>9</v>
      </c>
      <c r="I28" s="59"/>
      <c r="J28" s="60"/>
      <c r="K28" s="45"/>
    </row>
    <row r="29" spans="2:11">
      <c r="B29" s="199" t="s">
        <v>24</v>
      </c>
      <c r="C29" s="200"/>
      <c r="D29" s="201"/>
      <c r="E29" s="49">
        <v>0</v>
      </c>
      <c r="F29" s="220"/>
      <c r="G29" s="22">
        <f>154775.94- 154326.09</f>
        <v>449.85000000000582</v>
      </c>
      <c r="H29" s="62" t="s">
        <v>26</v>
      </c>
      <c r="I29" s="63"/>
      <c r="J29" s="64" t="s">
        <v>27</v>
      </c>
      <c r="K29" s="65" t="s">
        <v>28</v>
      </c>
    </row>
    <row r="30" spans="2:11">
      <c r="B30" s="344" t="s">
        <v>25</v>
      </c>
      <c r="C30" s="345"/>
      <c r="D30" s="346"/>
      <c r="E30" s="49">
        <v>0</v>
      </c>
      <c r="F30" s="220"/>
      <c r="G30" s="67">
        <v>1738.92</v>
      </c>
      <c r="H30" s="68" t="s">
        <v>14</v>
      </c>
      <c r="I30" s="63"/>
      <c r="J30" s="64" t="s">
        <v>30</v>
      </c>
      <c r="K30" s="65" t="s">
        <v>31</v>
      </c>
    </row>
    <row r="31" spans="2:11" ht="15" thickBot="1">
      <c r="B31" s="363" t="s">
        <v>29</v>
      </c>
      <c r="C31" s="364"/>
      <c r="D31" s="365"/>
      <c r="E31" s="66">
        <v>0</v>
      </c>
      <c r="F31" s="220"/>
      <c r="G31" s="71">
        <f>257869.15-254025.53</f>
        <v>3843.6199999999953</v>
      </c>
      <c r="H31" s="72" t="s">
        <v>12</v>
      </c>
      <c r="I31" s="73"/>
      <c r="J31" s="74" t="s">
        <v>32</v>
      </c>
      <c r="K31" s="75" t="s">
        <v>33</v>
      </c>
    </row>
    <row r="32" spans="2:11">
      <c r="F32" s="220"/>
    </row>
    <row r="33" spans="5:13">
      <c r="E33" s="61"/>
      <c r="F33" s="219"/>
    </row>
    <row r="34" spans="5:13">
      <c r="E34" s="61"/>
      <c r="F34" s="219"/>
      <c r="H34" s="61"/>
      <c r="I34" s="61"/>
      <c r="J34" s="13"/>
      <c r="K34" s="61"/>
      <c r="L34" s="61"/>
      <c r="M34" s="61"/>
    </row>
    <row r="35" spans="5:13">
      <c r="E35" s="61"/>
      <c r="F35" s="219"/>
      <c r="H35" s="61"/>
      <c r="I35" s="61"/>
      <c r="J35" s="13"/>
      <c r="K35" s="61"/>
      <c r="L35" s="61"/>
      <c r="M35" s="61"/>
    </row>
    <row r="36" spans="5:13" s="61" customFormat="1" ht="15" customHeight="1">
      <c r="E36" s="161" t="s">
        <v>200</v>
      </c>
      <c r="F36" s="197"/>
      <c r="G36" s="8"/>
      <c r="H36" s="13"/>
      <c r="J36" s="13"/>
      <c r="K36" s="83"/>
      <c r="L36" s="88"/>
    </row>
    <row r="37" spans="5:13" s="61" customFormat="1" ht="15" customHeight="1">
      <c r="E37" s="161"/>
      <c r="F37" s="197"/>
      <c r="G37" s="181"/>
      <c r="H37" s="161"/>
      <c r="I37" s="197"/>
      <c r="J37" s="13"/>
      <c r="K37" s="83"/>
      <c r="L37" s="161"/>
      <c r="M37" s="197"/>
    </row>
    <row r="38" spans="5:13" s="61" customFormat="1" ht="15" customHeight="1">
      <c r="E38" s="61" t="s">
        <v>34</v>
      </c>
      <c r="F38" s="197">
        <f>F17</f>
        <v>2299545.63</v>
      </c>
      <c r="G38" s="86"/>
      <c r="H38" s="161"/>
      <c r="I38" s="197"/>
      <c r="J38" s="13"/>
      <c r="K38" s="83"/>
      <c r="L38" s="161"/>
      <c r="M38" s="197"/>
    </row>
    <row r="39" spans="5:13" s="61" customFormat="1" ht="15" customHeight="1">
      <c r="E39" s="61" t="s">
        <v>35</v>
      </c>
      <c r="F39" s="197">
        <f>+E19</f>
        <v>9943.8200000000015</v>
      </c>
      <c r="G39" s="86"/>
      <c r="I39" s="197"/>
      <c r="J39" s="13"/>
      <c r="K39" s="85"/>
      <c r="M39" s="197"/>
    </row>
    <row r="40" spans="5:13" s="61" customFormat="1" ht="15" customHeight="1">
      <c r="E40" s="61" t="s">
        <v>36</v>
      </c>
      <c r="F40" s="197">
        <v>0</v>
      </c>
      <c r="G40" s="86"/>
      <c r="I40" s="214"/>
      <c r="J40" s="13"/>
      <c r="K40" s="87"/>
      <c r="M40" s="197"/>
    </row>
    <row r="41" spans="5:13" s="61" customFormat="1" ht="15" customHeight="1">
      <c r="E41" s="61" t="s">
        <v>37</v>
      </c>
      <c r="F41" s="197">
        <v>0</v>
      </c>
      <c r="G41" s="9"/>
      <c r="I41" s="197"/>
      <c r="J41" s="13"/>
      <c r="M41" s="197"/>
    </row>
    <row r="42" spans="5:13" s="61" customFormat="1" ht="15" customHeight="1">
      <c r="E42" s="163" t="s">
        <v>38</v>
      </c>
      <c r="F42" s="229">
        <f>SUM(F38:F41)</f>
        <v>2309489.4499999997</v>
      </c>
      <c r="G42" s="9"/>
      <c r="I42" s="197"/>
      <c r="J42" s="13"/>
      <c r="M42" s="197"/>
    </row>
    <row r="43" spans="5:13" s="61" customFormat="1" ht="15" customHeight="1">
      <c r="E43" s="165"/>
      <c r="F43" s="230"/>
      <c r="G43" s="9"/>
      <c r="H43" s="163"/>
      <c r="I43" s="229"/>
      <c r="J43" s="13"/>
      <c r="L43" s="163"/>
      <c r="M43" s="229"/>
    </row>
    <row r="44" spans="5:13" s="61" customFormat="1" ht="15" customHeight="1">
      <c r="E44" s="165" t="s">
        <v>152</v>
      </c>
      <c r="F44" s="230">
        <v>135000</v>
      </c>
      <c r="G44" s="9"/>
      <c r="H44" s="165"/>
      <c r="I44" s="230"/>
      <c r="J44" s="13"/>
      <c r="L44" s="165"/>
      <c r="M44" s="230"/>
    </row>
    <row r="45" spans="5:13" s="61" customFormat="1" ht="15" customHeight="1">
      <c r="E45" s="165" t="s">
        <v>69</v>
      </c>
      <c r="F45" s="230">
        <v>60000</v>
      </c>
      <c r="G45" s="9"/>
      <c r="H45" s="165"/>
      <c r="I45" s="230"/>
      <c r="J45" s="13"/>
    </row>
    <row r="46" spans="5:13" s="61" customFormat="1" ht="15" customHeight="1">
      <c r="E46" s="165" t="s">
        <v>201</v>
      </c>
      <c r="F46" s="230">
        <v>1350000</v>
      </c>
      <c r="G46" s="9"/>
      <c r="H46" s="91"/>
      <c r="I46" s="219"/>
      <c r="J46" s="13"/>
    </row>
    <row r="47" spans="5:13" s="61" customFormat="1">
      <c r="E47" s="165" t="s">
        <v>202</v>
      </c>
      <c r="F47" s="230">
        <v>90000</v>
      </c>
      <c r="G47" s="8"/>
      <c r="H47" s="91"/>
      <c r="I47" s="219"/>
      <c r="J47" s="13"/>
    </row>
    <row r="48" spans="5:13" s="61" customFormat="1">
      <c r="E48" s="91" t="s">
        <v>24</v>
      </c>
      <c r="F48" s="219">
        <v>80000</v>
      </c>
      <c r="G48" s="8"/>
      <c r="H48" s="91"/>
      <c r="I48" s="219"/>
      <c r="J48" s="13"/>
    </row>
    <row r="49" spans="5:13" s="61" customFormat="1">
      <c r="E49" s="91" t="s">
        <v>22</v>
      </c>
      <c r="F49" s="219">
        <v>50000</v>
      </c>
      <c r="G49" s="8"/>
      <c r="H49" s="91"/>
      <c r="I49" s="231"/>
      <c r="J49" s="13"/>
    </row>
    <row r="50" spans="5:13" s="61" customFormat="1">
      <c r="E50" s="91" t="s">
        <v>40</v>
      </c>
      <c r="F50" s="232">
        <v>150000</v>
      </c>
      <c r="G50" s="8"/>
      <c r="H50" s="96"/>
      <c r="I50" s="231"/>
      <c r="J50" s="262"/>
    </row>
    <row r="51" spans="5:13" s="61" customFormat="1">
      <c r="E51" s="165" t="s">
        <v>105</v>
      </c>
      <c r="F51" s="219">
        <v>95000</v>
      </c>
      <c r="G51" s="8"/>
      <c r="H51" s="96"/>
      <c r="I51" s="228"/>
      <c r="J51" s="262"/>
    </row>
    <row r="52" spans="5:13" s="61" customFormat="1">
      <c r="E52" s="91" t="s">
        <v>53</v>
      </c>
      <c r="F52" s="232">
        <v>185000</v>
      </c>
      <c r="G52" s="8"/>
      <c r="H52" s="83"/>
      <c r="I52" s="228"/>
      <c r="J52" s="13"/>
    </row>
    <row r="53" spans="5:13" s="61" customFormat="1">
      <c r="E53" s="91" t="s">
        <v>116</v>
      </c>
      <c r="F53" s="232">
        <v>30000</v>
      </c>
      <c r="G53" s="8"/>
      <c r="H53" s="83"/>
      <c r="I53" s="228"/>
      <c r="J53" s="13"/>
    </row>
    <row r="54" spans="5:13" s="61" customFormat="1">
      <c r="E54" s="91"/>
      <c r="F54" s="39">
        <v>0</v>
      </c>
      <c r="G54" s="8"/>
      <c r="H54" s="83"/>
      <c r="I54" s="232"/>
      <c r="J54" s="13"/>
    </row>
    <row r="55" spans="5:13" s="61" customFormat="1">
      <c r="E55" s="96" t="s">
        <v>41</v>
      </c>
      <c r="F55" s="231">
        <f>SUM(F44:F54)</f>
        <v>2225000</v>
      </c>
      <c r="G55" s="82"/>
      <c r="H55" s="83"/>
      <c r="I55" s="233"/>
      <c r="J55" s="13"/>
      <c r="L55" s="91"/>
      <c r="M55" s="232"/>
    </row>
    <row r="56" spans="5:13" s="61" customFormat="1">
      <c r="E56" s="96" t="s">
        <v>42</v>
      </c>
      <c r="F56" s="231">
        <f>F42-F55</f>
        <v>84489.449999999721</v>
      </c>
      <c r="G56" s="82"/>
      <c r="H56" s="83"/>
      <c r="I56" s="233"/>
      <c r="J56" s="13"/>
      <c r="L56" s="91"/>
      <c r="M56" s="232"/>
    </row>
    <row r="57" spans="5:13" s="61" customFormat="1">
      <c r="F57" s="39"/>
      <c r="G57" s="82"/>
      <c r="H57" s="83"/>
      <c r="I57" s="233"/>
      <c r="J57" s="13"/>
      <c r="L57" s="96"/>
      <c r="M57" s="231"/>
    </row>
    <row r="58" spans="5:13" s="61" customFormat="1">
      <c r="E58" s="83" t="s">
        <v>43</v>
      </c>
      <c r="F58" s="151">
        <f>43800+180000</f>
        <v>223800</v>
      </c>
      <c r="G58" s="82"/>
      <c r="H58" s="96"/>
      <c r="I58" s="228"/>
      <c r="J58" s="13"/>
      <c r="L58" s="96"/>
      <c r="M58" s="233"/>
    </row>
    <row r="59" spans="5:13" s="61" customFormat="1">
      <c r="E59" s="83" t="s">
        <v>44</v>
      </c>
      <c r="F59" s="151">
        <v>365000</v>
      </c>
      <c r="G59" s="82"/>
      <c r="H59" s="83"/>
      <c r="I59" s="233"/>
      <c r="J59" s="13"/>
    </row>
    <row r="60" spans="5:13" s="61" customFormat="1">
      <c r="E60" s="83" t="s">
        <v>45</v>
      </c>
      <c r="F60" s="95">
        <v>0</v>
      </c>
      <c r="G60" s="82"/>
      <c r="H60" s="96"/>
      <c r="I60" s="219"/>
      <c r="J60" s="13"/>
      <c r="L60" s="83"/>
      <c r="M60" s="228"/>
    </row>
    <row r="61" spans="5:13">
      <c r="E61" s="83" t="s">
        <v>205</v>
      </c>
      <c r="F61" s="95">
        <v>0</v>
      </c>
      <c r="H61" s="61"/>
      <c r="I61" s="61"/>
      <c r="J61" s="13"/>
      <c r="K61" s="61"/>
      <c r="L61" s="61"/>
      <c r="M61" s="61"/>
    </row>
    <row r="62" spans="5:13">
      <c r="E62" s="83" t="s">
        <v>206</v>
      </c>
      <c r="F62" s="95"/>
      <c r="H62" s="61"/>
      <c r="I62" s="61"/>
      <c r="J62" s="13"/>
      <c r="K62" s="61"/>
      <c r="L62" s="61"/>
      <c r="M62" s="61"/>
    </row>
    <row r="63" spans="5:13">
      <c r="E63" s="96" t="s">
        <v>46</v>
      </c>
      <c r="F63" s="99">
        <f>SUM(F58:F60)</f>
        <v>588800</v>
      </c>
    </row>
    <row r="64" spans="5:13">
      <c r="E64" s="83"/>
      <c r="F64" s="151"/>
    </row>
    <row r="65" spans="4:7">
      <c r="D65" s="247" t="s">
        <v>192</v>
      </c>
      <c r="E65" s="96" t="s">
        <v>47</v>
      </c>
      <c r="F65" s="99">
        <f>F56-F63</f>
        <v>-504310.55000000028</v>
      </c>
      <c r="G65" s="8"/>
    </row>
    <row r="66" spans="4:7">
      <c r="D66" s="247" t="s">
        <v>194</v>
      </c>
      <c r="E66" s="8"/>
      <c r="F66" s="220"/>
      <c r="G66" s="8"/>
    </row>
    <row r="67" spans="4:7">
      <c r="D67" s="8" t="s">
        <v>9</v>
      </c>
      <c r="E67" s="61"/>
      <c r="F67" s="219"/>
      <c r="G67" s="8"/>
    </row>
    <row r="68" spans="4:7">
      <c r="D68" s="8" t="s">
        <v>195</v>
      </c>
      <c r="G68" s="8"/>
    </row>
    <row r="69" spans="4:7">
      <c r="D69" s="8" t="s">
        <v>188</v>
      </c>
      <c r="G69" s="124">
        <f>SUM(E75:F75)</f>
        <v>53351.621182648327</v>
      </c>
    </row>
    <row r="70" spans="4:7">
      <c r="D70" s="8"/>
      <c r="E70" s="247"/>
      <c r="F70" s="247"/>
      <c r="G70" s="8"/>
    </row>
    <row r="71" spans="4:7">
      <c r="E71" s="247" t="s">
        <v>193</v>
      </c>
      <c r="F71" s="248" t="s">
        <v>24</v>
      </c>
    </row>
    <row r="72" spans="4:7">
      <c r="E72" s="249">
        <v>0</v>
      </c>
      <c r="F72" s="250">
        <v>20000</v>
      </c>
    </row>
    <row r="73" spans="4:7">
      <c r="E73" s="249">
        <f>125838.990762557-125000</f>
        <v>838.99076255700493</v>
      </c>
      <c r="F73" s="250">
        <v>28487.100420091323</v>
      </c>
    </row>
    <row r="74" spans="4:7">
      <c r="E74" s="249">
        <f>254025.53-250000</f>
        <v>4025.5299999999988</v>
      </c>
      <c r="F74" s="250"/>
    </row>
    <row r="75" spans="4:7">
      <c r="E75" s="124">
        <f>SUM(E72:E74)</f>
        <v>4864.5207625570038</v>
      </c>
      <c r="F75" s="250">
        <f>SUM(F72:F74)</f>
        <v>48487.100420091323</v>
      </c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9455C-F231-4C2C-B3DF-06B6CFBBF390}">
  <dimension ref="A6:M75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2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2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2" ht="15" thickBot="1">
      <c r="A14" s="1"/>
      <c r="B14" s="334" t="s">
        <v>3</v>
      </c>
      <c r="C14" s="335"/>
      <c r="D14" s="336"/>
      <c r="E14" s="17">
        <f>SUM(E15:E17)</f>
        <v>1747644.5699999998</v>
      </c>
      <c r="F14" s="150"/>
      <c r="G14" s="331" t="s">
        <v>4</v>
      </c>
      <c r="H14" s="332"/>
      <c r="I14" s="332"/>
      <c r="J14" s="332"/>
      <c r="K14" s="333"/>
      <c r="L14" s="19"/>
    </row>
    <row r="15" spans="1:12">
      <c r="A15" s="1"/>
      <c r="B15" s="337" t="s">
        <v>5</v>
      </c>
      <c r="C15" s="338"/>
      <c r="D15" s="339"/>
      <c r="E15" s="20">
        <f>J16+J17+J18+J19</f>
        <v>1645167.3499999999</v>
      </c>
      <c r="F15" s="153">
        <f>E15+E16+E17</f>
        <v>1747644.5699999998</v>
      </c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36604.71</v>
      </c>
      <c r="F16" s="153">
        <v>90000</v>
      </c>
      <c r="G16" s="22">
        <v>35180.36</v>
      </c>
      <c r="H16" s="23" t="s">
        <v>8</v>
      </c>
      <c r="I16" s="24"/>
      <c r="J16" s="25">
        <v>66843.5</v>
      </c>
      <c r="K16" s="26" t="s">
        <v>9</v>
      </c>
      <c r="L16" s="13"/>
    </row>
    <row r="17" spans="2:11">
      <c r="B17" s="352" t="s">
        <v>6</v>
      </c>
      <c r="C17" s="353"/>
      <c r="D17" s="354"/>
      <c r="E17" s="28">
        <f>G16+G17+G18</f>
        <v>65872.510000000009</v>
      </c>
      <c r="F17" s="153">
        <f>F15-F16</f>
        <v>1657644.5699999998</v>
      </c>
      <c r="G17" s="22">
        <v>18817.61</v>
      </c>
      <c r="H17" s="29" t="s">
        <v>10</v>
      </c>
      <c r="I17" s="30"/>
      <c r="J17" s="25">
        <v>89754.69</v>
      </c>
      <c r="K17" s="31" t="s">
        <v>10</v>
      </c>
    </row>
    <row r="18" spans="2:11">
      <c r="B18" s="236" t="s">
        <v>187</v>
      </c>
      <c r="C18" s="237"/>
      <c r="D18" s="238"/>
      <c r="E18" s="28">
        <f>+J22</f>
        <v>0</v>
      </c>
      <c r="F18" s="153"/>
      <c r="G18" s="22">
        <v>11874.54</v>
      </c>
      <c r="H18" s="29" t="s">
        <v>12</v>
      </c>
      <c r="I18" s="30"/>
      <c r="J18" s="25">
        <v>1467581.72</v>
      </c>
      <c r="K18" s="31" t="s">
        <v>12</v>
      </c>
    </row>
    <row r="19" spans="2:11">
      <c r="B19" s="379" t="s">
        <v>11</v>
      </c>
      <c r="C19" s="380"/>
      <c r="D19" s="381"/>
      <c r="E19" s="20">
        <f>G29+G31+G30+G28</f>
        <v>10027.460000000019</v>
      </c>
      <c r="F19" s="153"/>
      <c r="G19" s="33"/>
      <c r="H19" s="34"/>
      <c r="I19" s="30"/>
      <c r="J19" s="25">
        <v>20987.439999999999</v>
      </c>
      <c r="K19" s="31" t="s">
        <v>14</v>
      </c>
    </row>
    <row r="20" spans="2:11">
      <c r="B20" s="344" t="s">
        <v>13</v>
      </c>
      <c r="C20" s="345"/>
      <c r="D20" s="346"/>
      <c r="E20" s="20">
        <v>20491606.809999999</v>
      </c>
      <c r="F20" s="153"/>
      <c r="G20" s="239"/>
      <c r="H20" s="240"/>
      <c r="I20" s="30"/>
      <c r="J20" s="25"/>
      <c r="K20" s="31"/>
    </row>
    <row r="21" spans="2:11">
      <c r="B21" s="187" t="s">
        <v>15</v>
      </c>
      <c r="C21" s="188"/>
      <c r="D21" s="189"/>
      <c r="E21" s="190">
        <f>SUM(E22:E24)</f>
        <v>0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1">
      <c r="B22" s="187"/>
      <c r="C22" s="188"/>
      <c r="D22" s="198"/>
      <c r="E22" s="190">
        <v>0</v>
      </c>
      <c r="F22" s="153">
        <f>SUM(E25:E31)</f>
        <v>140552.4</v>
      </c>
      <c r="G22" s="44">
        <v>10572.04</v>
      </c>
      <c r="H22" s="29" t="s">
        <v>10</v>
      </c>
      <c r="I22" s="30"/>
      <c r="J22" s="25">
        <v>0</v>
      </c>
      <c r="K22" s="31" t="s">
        <v>188</v>
      </c>
    </row>
    <row r="23" spans="2:11">
      <c r="B23" s="187"/>
      <c r="C23" s="188"/>
      <c r="D23" s="198"/>
      <c r="E23" s="190">
        <v>0</v>
      </c>
      <c r="F23" s="153"/>
      <c r="G23" s="44">
        <v>26032.67</v>
      </c>
      <c r="H23" s="29" t="s">
        <v>18</v>
      </c>
      <c r="I23" s="30"/>
      <c r="J23" s="25"/>
      <c r="K23" s="31"/>
    </row>
    <row r="24" spans="2:11" ht="15" thickBot="1">
      <c r="B24" s="206"/>
      <c r="C24" s="205"/>
      <c r="D24" s="208"/>
      <c r="E24" s="190">
        <v>0</v>
      </c>
      <c r="F24" s="153">
        <f>+F17-F22</f>
        <v>1517092.17</v>
      </c>
      <c r="G24" s="51"/>
      <c r="H24" s="34"/>
      <c r="I24" s="30"/>
      <c r="J24" s="210"/>
      <c r="K24" s="53"/>
    </row>
    <row r="25" spans="2:11" ht="15" thickBot="1">
      <c r="B25" s="46" t="s">
        <v>17</v>
      </c>
      <c r="C25" s="47"/>
      <c r="D25" s="48"/>
      <c r="E25" s="234">
        <v>0</v>
      </c>
      <c r="F25" s="153"/>
      <c r="G25" s="331" t="s">
        <v>21</v>
      </c>
      <c r="H25" s="332"/>
      <c r="I25" s="332"/>
      <c r="J25" s="332"/>
      <c r="K25" s="333"/>
    </row>
    <row r="26" spans="2:11">
      <c r="B26" s="202" t="s">
        <v>163</v>
      </c>
      <c r="C26" s="203"/>
      <c r="D26" s="204"/>
      <c r="E26" s="49">
        <v>0</v>
      </c>
      <c r="F26" s="153"/>
      <c r="G26" s="54"/>
      <c r="H26" s="55"/>
      <c r="I26" s="56"/>
      <c r="J26" s="211"/>
      <c r="K26" s="58"/>
    </row>
    <row r="27" spans="2:11">
      <c r="B27" s="199" t="s">
        <v>22</v>
      </c>
      <c r="C27" s="200"/>
      <c r="D27" s="201"/>
      <c r="E27" s="49">
        <v>552.4</v>
      </c>
      <c r="F27" s="221"/>
      <c r="G27" s="377" t="s">
        <v>5</v>
      </c>
      <c r="H27" s="378"/>
      <c r="I27" s="59"/>
      <c r="J27" s="60"/>
      <c r="K27" s="45"/>
    </row>
    <row r="28" spans="2:11">
      <c r="B28" s="199" t="s">
        <v>105</v>
      </c>
      <c r="C28" s="200"/>
      <c r="D28" s="201"/>
      <c r="E28" s="49">
        <v>0</v>
      </c>
      <c r="F28" s="220"/>
      <c r="G28" s="22">
        <f>23911.43-11500-8500</f>
        <v>3911.4300000000003</v>
      </c>
      <c r="H28" s="62" t="s">
        <v>9</v>
      </c>
      <c r="I28" s="59"/>
      <c r="J28" s="60"/>
      <c r="K28" s="45"/>
    </row>
    <row r="29" spans="2:11">
      <c r="B29" s="199" t="s">
        <v>24</v>
      </c>
      <c r="C29" s="200"/>
      <c r="D29" s="201"/>
      <c r="E29" s="49">
        <v>80000</v>
      </c>
      <c r="F29" s="220"/>
      <c r="G29" s="22">
        <f>154790.44- 154326.09</f>
        <v>464.35000000000582</v>
      </c>
      <c r="H29" s="62" t="s">
        <v>26</v>
      </c>
      <c r="I29" s="63"/>
      <c r="J29" s="64" t="s">
        <v>27</v>
      </c>
      <c r="K29" s="65" t="s">
        <v>28</v>
      </c>
    </row>
    <row r="30" spans="2:11">
      <c r="B30" s="344" t="s">
        <v>25</v>
      </c>
      <c r="C30" s="345"/>
      <c r="D30" s="346"/>
      <c r="E30" s="49">
        <v>60000</v>
      </c>
      <c r="F30" s="220"/>
      <c r="G30" s="67">
        <v>1739.26</v>
      </c>
      <c r="H30" s="68" t="s">
        <v>14</v>
      </c>
      <c r="I30" s="63"/>
      <c r="J30" s="64" t="s">
        <v>30</v>
      </c>
      <c r="K30" s="65" t="s">
        <v>31</v>
      </c>
    </row>
    <row r="31" spans="2:11" ht="15" thickBot="1">
      <c r="B31" s="363" t="s">
        <v>29</v>
      </c>
      <c r="C31" s="364"/>
      <c r="D31" s="365"/>
      <c r="E31" s="66">
        <v>0</v>
      </c>
      <c r="F31" s="220"/>
      <c r="G31" s="71">
        <f>257937.95-254025.53</f>
        <v>3912.4200000000128</v>
      </c>
      <c r="H31" s="72" t="s">
        <v>12</v>
      </c>
      <c r="I31" s="73"/>
      <c r="J31" s="74" t="s">
        <v>32</v>
      </c>
      <c r="K31" s="75" t="s">
        <v>33</v>
      </c>
    </row>
    <row r="32" spans="2:11">
      <c r="F32" s="220"/>
    </row>
    <row r="33" spans="5:13">
      <c r="E33" s="61"/>
      <c r="F33" s="219"/>
    </row>
    <row r="34" spans="5:13">
      <c r="E34" s="61"/>
      <c r="F34" s="219"/>
      <c r="H34" s="61"/>
      <c r="I34" s="61"/>
      <c r="J34" s="13"/>
      <c r="K34" s="61"/>
      <c r="L34" s="61"/>
      <c r="M34" s="61"/>
    </row>
    <row r="35" spans="5:13">
      <c r="E35" s="61"/>
      <c r="F35" s="219"/>
      <c r="H35" s="61"/>
      <c r="I35" s="61"/>
      <c r="J35" s="13"/>
      <c r="K35" s="61"/>
      <c r="L35" s="61"/>
      <c r="M35" s="61"/>
    </row>
    <row r="36" spans="5:13" s="61" customFormat="1" ht="15" customHeight="1">
      <c r="E36" s="181" t="s">
        <v>200</v>
      </c>
      <c r="F36" s="222"/>
      <c r="G36" s="8"/>
      <c r="H36" s="13"/>
      <c r="J36" s="13"/>
      <c r="K36" s="83"/>
      <c r="L36" s="88"/>
    </row>
    <row r="37" spans="5:13" s="61" customFormat="1" ht="15" customHeight="1">
      <c r="E37" s="181"/>
      <c r="F37" s="222"/>
      <c r="G37" s="181"/>
      <c r="H37" s="161"/>
      <c r="I37" s="197"/>
      <c r="J37" s="13"/>
      <c r="K37" s="83"/>
      <c r="L37" s="161"/>
      <c r="M37" s="197"/>
    </row>
    <row r="38" spans="5:13" s="61" customFormat="1" ht="15" customHeight="1">
      <c r="E38" s="8" t="s">
        <v>34</v>
      </c>
      <c r="F38" s="222">
        <f>F17</f>
        <v>1657644.5699999998</v>
      </c>
      <c r="G38" s="86"/>
      <c r="H38" s="161"/>
      <c r="I38" s="197"/>
      <c r="J38" s="13"/>
      <c r="K38" s="83"/>
      <c r="L38" s="161"/>
      <c r="M38" s="197"/>
    </row>
    <row r="39" spans="5:13" s="61" customFormat="1" ht="15" customHeight="1">
      <c r="E39" s="8" t="s">
        <v>35</v>
      </c>
      <c r="F39" s="222">
        <f>+E19</f>
        <v>10027.460000000019</v>
      </c>
      <c r="G39" s="86"/>
      <c r="I39" s="197"/>
      <c r="J39" s="13"/>
      <c r="K39" s="85"/>
      <c r="M39" s="197"/>
    </row>
    <row r="40" spans="5:13" s="61" customFormat="1" ht="15" customHeight="1">
      <c r="E40" s="8" t="s">
        <v>36</v>
      </c>
      <c r="F40" s="222">
        <v>0</v>
      </c>
      <c r="G40" s="86"/>
      <c r="I40" s="214"/>
      <c r="J40" s="13"/>
      <c r="K40" s="87"/>
      <c r="M40" s="197"/>
    </row>
    <row r="41" spans="5:13" s="61" customFormat="1" ht="15" customHeight="1">
      <c r="E41" s="8" t="s">
        <v>37</v>
      </c>
      <c r="F41" s="222">
        <v>0</v>
      </c>
      <c r="G41" s="9"/>
      <c r="I41" s="197"/>
      <c r="J41" s="13"/>
      <c r="M41" s="197"/>
    </row>
    <row r="42" spans="5:13" s="61" customFormat="1" ht="15" customHeight="1">
      <c r="E42" s="182" t="s">
        <v>38</v>
      </c>
      <c r="F42" s="223">
        <f>SUM(F38:F41)</f>
        <v>1667672.0299999998</v>
      </c>
      <c r="G42" s="9"/>
      <c r="I42" s="197"/>
      <c r="J42" s="13"/>
      <c r="M42" s="197"/>
    </row>
    <row r="43" spans="5:13" s="61" customFormat="1" ht="15" customHeight="1">
      <c r="E43" s="183"/>
      <c r="F43" s="224"/>
      <c r="G43" s="9"/>
      <c r="H43" s="163"/>
      <c r="I43" s="229"/>
      <c r="J43" s="13"/>
      <c r="L43" s="163"/>
      <c r="M43" s="229"/>
    </row>
    <row r="44" spans="5:13" s="61" customFormat="1" ht="15" customHeight="1">
      <c r="E44" s="183" t="s">
        <v>152</v>
      </c>
      <c r="F44" s="224">
        <v>135000</v>
      </c>
      <c r="G44" s="9"/>
      <c r="H44" s="165"/>
      <c r="I44" s="230"/>
      <c r="J44" s="13"/>
      <c r="L44" s="165"/>
      <c r="M44" s="230"/>
    </row>
    <row r="45" spans="5:13" s="61" customFormat="1" ht="15" customHeight="1">
      <c r="E45" s="183" t="s">
        <v>69</v>
      </c>
      <c r="F45" s="224">
        <v>60000</v>
      </c>
      <c r="G45" s="9"/>
      <c r="H45" s="165"/>
      <c r="I45" s="230"/>
      <c r="J45" s="13"/>
    </row>
    <row r="46" spans="5:13" s="61" customFormat="1" ht="15" customHeight="1">
      <c r="E46" s="183" t="s">
        <v>201</v>
      </c>
      <c r="F46" s="224">
        <v>0</v>
      </c>
      <c r="G46" s="9"/>
      <c r="H46" s="91"/>
      <c r="I46" s="219"/>
      <c r="J46" s="13"/>
    </row>
    <row r="47" spans="5:13" s="61" customFormat="1">
      <c r="E47" s="183" t="s">
        <v>202</v>
      </c>
      <c r="F47" s="224">
        <v>0</v>
      </c>
      <c r="G47" s="8"/>
      <c r="H47" s="91"/>
      <c r="I47" s="219"/>
      <c r="J47" s="13"/>
    </row>
    <row r="48" spans="5:13" s="61" customFormat="1">
      <c r="E48" s="116" t="s">
        <v>24</v>
      </c>
      <c r="F48" s="220">
        <v>80000</v>
      </c>
      <c r="G48" s="8"/>
      <c r="H48" s="91"/>
      <c r="I48" s="219"/>
      <c r="J48" s="13"/>
    </row>
    <row r="49" spans="5:13" s="61" customFormat="1">
      <c r="E49" s="116" t="s">
        <v>22</v>
      </c>
      <c r="F49" s="220">
        <v>50000</v>
      </c>
      <c r="G49" s="8"/>
      <c r="H49" s="91"/>
      <c r="I49" s="231"/>
      <c r="J49" s="13"/>
    </row>
    <row r="50" spans="5:13" s="61" customFormat="1">
      <c r="E50" s="116" t="s">
        <v>40</v>
      </c>
      <c r="F50" s="226">
        <f>150000-50000</f>
        <v>100000</v>
      </c>
      <c r="G50" s="8"/>
      <c r="H50" s="96"/>
      <c r="I50" s="231"/>
      <c r="J50" s="262"/>
    </row>
    <row r="51" spans="5:13" s="61" customFormat="1">
      <c r="E51" s="183" t="s">
        <v>105</v>
      </c>
      <c r="F51" s="220">
        <v>0</v>
      </c>
      <c r="G51" s="8"/>
      <c r="H51" s="96"/>
      <c r="I51" s="228"/>
      <c r="J51" s="262"/>
    </row>
    <row r="52" spans="5:13" s="61" customFormat="1">
      <c r="E52" s="116" t="s">
        <v>53</v>
      </c>
      <c r="F52" s="226">
        <v>185000</v>
      </c>
      <c r="G52" s="8"/>
      <c r="H52" s="83"/>
      <c r="I52" s="228"/>
      <c r="J52" s="13"/>
    </row>
    <row r="53" spans="5:13" s="61" customFormat="1">
      <c r="E53" s="116" t="s">
        <v>116</v>
      </c>
      <c r="F53" s="226">
        <v>30000</v>
      </c>
      <c r="G53" s="8"/>
      <c r="H53" s="83"/>
      <c r="I53" s="228"/>
      <c r="J53" s="13"/>
    </row>
    <row r="54" spans="5:13" s="61" customFormat="1">
      <c r="E54" s="116"/>
      <c r="F54" s="154">
        <v>0</v>
      </c>
      <c r="G54" s="8"/>
      <c r="H54" s="83"/>
      <c r="I54" s="232"/>
      <c r="J54" s="13"/>
    </row>
    <row r="55" spans="5:13" s="61" customFormat="1">
      <c r="E55" s="118" t="s">
        <v>41</v>
      </c>
      <c r="F55" s="225">
        <f>SUM(F44:F54)</f>
        <v>640000</v>
      </c>
      <c r="G55" s="82"/>
      <c r="H55" s="83"/>
      <c r="I55" s="233"/>
      <c r="J55" s="13"/>
      <c r="L55" s="91"/>
      <c r="M55" s="232"/>
    </row>
    <row r="56" spans="5:13" s="61" customFormat="1">
      <c r="E56" s="118" t="s">
        <v>42</v>
      </c>
      <c r="F56" s="225">
        <f>F42-F55</f>
        <v>1027672.0299999998</v>
      </c>
      <c r="G56" s="82"/>
      <c r="H56" s="83"/>
      <c r="I56" s="233"/>
      <c r="J56" s="13"/>
      <c r="L56" s="91"/>
      <c r="M56" s="232"/>
    </row>
    <row r="57" spans="5:13" s="61" customFormat="1">
      <c r="E57" s="8"/>
      <c r="F57" s="154"/>
      <c r="G57" s="82"/>
      <c r="H57" s="83"/>
      <c r="I57" s="233"/>
      <c r="J57" s="13"/>
      <c r="L57" s="96"/>
      <c r="M57" s="231"/>
    </row>
    <row r="58" spans="5:13" s="61" customFormat="1">
      <c r="E58" s="82" t="s">
        <v>43</v>
      </c>
      <c r="F58" s="80">
        <f>43800+180000</f>
        <v>223800</v>
      </c>
      <c r="G58" s="82"/>
      <c r="H58" s="96"/>
      <c r="I58" s="228"/>
      <c r="J58" s="13"/>
      <c r="L58" s="96"/>
      <c r="M58" s="233"/>
    </row>
    <row r="59" spans="5:13" s="61" customFormat="1">
      <c r="E59" s="82" t="s">
        <v>44</v>
      </c>
      <c r="F59" s="80">
        <v>365000</v>
      </c>
      <c r="G59" s="82"/>
      <c r="H59" s="83"/>
      <c r="I59" s="233"/>
      <c r="J59" s="13"/>
    </row>
    <row r="60" spans="5:13" s="61" customFormat="1">
      <c r="E60" s="82" t="s">
        <v>45</v>
      </c>
      <c r="F60" s="117">
        <v>0</v>
      </c>
      <c r="G60" s="82"/>
      <c r="H60" s="96"/>
      <c r="I60" s="219"/>
      <c r="J60" s="13"/>
      <c r="L60" s="83"/>
      <c r="M60" s="228"/>
    </row>
    <row r="61" spans="5:13">
      <c r="E61" s="82" t="s">
        <v>205</v>
      </c>
      <c r="F61" s="117">
        <v>0</v>
      </c>
      <c r="H61" s="61"/>
      <c r="I61" s="61"/>
      <c r="J61" s="13"/>
      <c r="K61" s="61"/>
      <c r="L61" s="61"/>
      <c r="M61" s="61"/>
    </row>
    <row r="62" spans="5:13">
      <c r="E62" s="82" t="s">
        <v>206</v>
      </c>
      <c r="F62" s="117"/>
      <c r="H62" s="61"/>
      <c r="I62" s="61"/>
      <c r="J62" s="13"/>
      <c r="K62" s="61"/>
      <c r="L62" s="61"/>
      <c r="M62" s="61"/>
    </row>
    <row r="63" spans="5:13">
      <c r="E63" s="118" t="s">
        <v>46</v>
      </c>
      <c r="F63" s="120">
        <f>SUM(F58:F60)</f>
        <v>588800</v>
      </c>
    </row>
    <row r="64" spans="5:13">
      <c r="E64" s="82"/>
      <c r="F64" s="80"/>
    </row>
    <row r="65" spans="4:7">
      <c r="D65" s="247" t="s">
        <v>192</v>
      </c>
      <c r="E65" s="118" t="s">
        <v>47</v>
      </c>
      <c r="F65" s="120">
        <f>F56-F63</f>
        <v>438872.0299999998</v>
      </c>
      <c r="G65" s="8"/>
    </row>
    <row r="66" spans="4:7">
      <c r="D66" s="247" t="s">
        <v>194</v>
      </c>
      <c r="E66" s="8"/>
      <c r="F66" s="220"/>
      <c r="G66" s="8"/>
    </row>
    <row r="67" spans="4:7">
      <c r="D67" s="8" t="s">
        <v>9</v>
      </c>
      <c r="E67" s="8"/>
      <c r="F67" s="220"/>
      <c r="G67" s="8"/>
    </row>
    <row r="68" spans="4:7">
      <c r="D68" s="8" t="s">
        <v>195</v>
      </c>
      <c r="G68" s="8"/>
    </row>
    <row r="69" spans="4:7">
      <c r="D69" s="8" t="s">
        <v>188</v>
      </c>
      <c r="G69" s="124">
        <f>SUM(E75:F75)</f>
        <v>53351.621182648327</v>
      </c>
    </row>
    <row r="70" spans="4:7">
      <c r="D70" s="8"/>
      <c r="E70" s="247"/>
      <c r="F70" s="247"/>
      <c r="G70" s="8"/>
    </row>
    <row r="71" spans="4:7">
      <c r="E71" s="247" t="s">
        <v>193</v>
      </c>
      <c r="F71" s="248" t="s">
        <v>24</v>
      </c>
    </row>
    <row r="72" spans="4:7">
      <c r="E72" s="249">
        <v>0</v>
      </c>
      <c r="F72" s="250">
        <v>20000</v>
      </c>
    </row>
    <row r="73" spans="4:7">
      <c r="E73" s="249">
        <f>125838.990762557-125000</f>
        <v>838.99076255700493</v>
      </c>
      <c r="F73" s="250">
        <v>28487.100420091323</v>
      </c>
    </row>
    <row r="74" spans="4:7">
      <c r="E74" s="249">
        <f>254025.53-250000</f>
        <v>4025.5299999999988</v>
      </c>
      <c r="F74" s="250"/>
    </row>
    <row r="75" spans="4:7">
      <c r="E75" s="124">
        <f>SUM(E72:E74)</f>
        <v>4864.5207625570038</v>
      </c>
      <c r="F75" s="250">
        <f>SUM(F72:F74)</f>
        <v>48487.100420091323</v>
      </c>
    </row>
  </sheetData>
  <mergeCells count="16"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E9314-074B-4733-A870-FB2BD8712ED5}">
  <dimension ref="A6:M75"/>
  <sheetViews>
    <sheetView showGridLines="0" topLeftCell="A2" workbookViewId="0">
      <selection activeCell="A2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2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2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2" ht="15" thickBot="1">
      <c r="A14" s="1"/>
      <c r="B14" s="334" t="s">
        <v>3</v>
      </c>
      <c r="C14" s="335"/>
      <c r="D14" s="336"/>
      <c r="E14" s="17">
        <f>SUM(E15:E17)</f>
        <v>4339520.22</v>
      </c>
      <c r="F14" s="150"/>
      <c r="G14" s="331" t="s">
        <v>4</v>
      </c>
      <c r="H14" s="332"/>
      <c r="I14" s="332"/>
      <c r="J14" s="332"/>
      <c r="K14" s="333"/>
      <c r="L14" s="19"/>
    </row>
    <row r="15" spans="1:12">
      <c r="A15" s="1"/>
      <c r="B15" s="337" t="s">
        <v>5</v>
      </c>
      <c r="C15" s="338"/>
      <c r="D15" s="339"/>
      <c r="E15" s="20">
        <f>J16+J17+J18+J19</f>
        <v>4179184.51</v>
      </c>
      <c r="F15" s="153">
        <f>E15+E16+E17</f>
        <v>4339520.22</v>
      </c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34864.71</v>
      </c>
      <c r="F16" s="153">
        <v>90000</v>
      </c>
      <c r="G16" s="22">
        <v>64180.36</v>
      </c>
      <c r="H16" s="23" t="s">
        <v>8</v>
      </c>
      <c r="I16" s="24"/>
      <c r="J16" s="25">
        <v>66843.5</v>
      </c>
      <c r="K16" s="26" t="s">
        <v>9</v>
      </c>
      <c r="L16" s="13"/>
    </row>
    <row r="17" spans="2:11">
      <c r="B17" s="352" t="s">
        <v>6</v>
      </c>
      <c r="C17" s="353"/>
      <c r="D17" s="354"/>
      <c r="E17" s="28">
        <f>G16+G17+G18</f>
        <v>125471</v>
      </c>
      <c r="F17" s="153">
        <f>F15-F16</f>
        <v>4249520.22</v>
      </c>
      <c r="G17" s="22">
        <v>17827.89</v>
      </c>
      <c r="H17" s="29" t="s">
        <v>10</v>
      </c>
      <c r="I17" s="30"/>
      <c r="J17" s="25">
        <v>11394.69</v>
      </c>
      <c r="K17" s="31" t="s">
        <v>10</v>
      </c>
    </row>
    <row r="18" spans="2:11">
      <c r="B18" s="236" t="s">
        <v>187</v>
      </c>
      <c r="C18" s="237"/>
      <c r="D18" s="238"/>
      <c r="E18" s="28">
        <f>+J22</f>
        <v>20000</v>
      </c>
      <c r="F18" s="153"/>
      <c r="G18" s="22">
        <f>63462.75-20000</f>
        <v>43462.75</v>
      </c>
      <c r="H18" s="29" t="s">
        <v>12</v>
      </c>
      <c r="I18" s="30"/>
      <c r="J18" s="25">
        <v>3763242.88</v>
      </c>
      <c r="K18" s="31" t="s">
        <v>12</v>
      </c>
    </row>
    <row r="19" spans="2:11">
      <c r="B19" s="379" t="s">
        <v>11</v>
      </c>
      <c r="C19" s="380"/>
      <c r="D19" s="381"/>
      <c r="E19" s="20">
        <f>G29+G31+G30+G28</f>
        <v>10195.050000000016</v>
      </c>
      <c r="F19" s="153"/>
      <c r="G19" s="33"/>
      <c r="H19" s="34"/>
      <c r="I19" s="30"/>
      <c r="J19" s="25">
        <v>337703.44</v>
      </c>
      <c r="K19" s="31" t="s">
        <v>14</v>
      </c>
    </row>
    <row r="20" spans="2:11">
      <c r="B20" s="344" t="s">
        <v>13</v>
      </c>
      <c r="C20" s="345"/>
      <c r="D20" s="346"/>
      <c r="E20" s="20">
        <v>17512955.809999999</v>
      </c>
      <c r="F20" s="153"/>
      <c r="G20" s="239"/>
      <c r="H20" s="240"/>
      <c r="I20" s="30"/>
      <c r="J20" s="25"/>
      <c r="K20" s="31"/>
    </row>
    <row r="21" spans="2:11">
      <c r="B21" s="187" t="s">
        <v>15</v>
      </c>
      <c r="C21" s="188"/>
      <c r="D21" s="189"/>
      <c r="E21" s="190">
        <f>SUM(E22:E24)</f>
        <v>2662151.16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1">
      <c r="B22" s="187"/>
      <c r="C22" s="188"/>
      <c r="D22" s="198" t="s">
        <v>159</v>
      </c>
      <c r="E22" s="190">
        <v>2584234.9500000002</v>
      </c>
      <c r="F22" s="153">
        <f>SUM(E25:E31)</f>
        <v>495461.8</v>
      </c>
      <c r="G22" s="44">
        <v>9702.0400000000009</v>
      </c>
      <c r="H22" s="29" t="s">
        <v>10</v>
      </c>
      <c r="I22" s="30"/>
      <c r="J22" s="25">
        <v>20000</v>
      </c>
      <c r="K22" s="31" t="s">
        <v>188</v>
      </c>
    </row>
    <row r="23" spans="2:11">
      <c r="B23" s="187"/>
      <c r="C23" s="188"/>
      <c r="D23" s="198" t="s">
        <v>122</v>
      </c>
      <c r="E23" s="190">
        <v>39962</v>
      </c>
      <c r="F23" s="153"/>
      <c r="G23" s="44">
        <v>25162.67</v>
      </c>
      <c r="H23" s="29" t="s">
        <v>18</v>
      </c>
      <c r="I23" s="30"/>
      <c r="J23" s="25"/>
      <c r="K23" s="31"/>
    </row>
    <row r="24" spans="2:11" ht="15" thickBot="1">
      <c r="B24" s="206"/>
      <c r="C24" s="205"/>
      <c r="D24" s="208" t="s">
        <v>330</v>
      </c>
      <c r="E24" s="190">
        <v>37954.21</v>
      </c>
      <c r="F24" s="153">
        <f>+F17-F22</f>
        <v>3754058.42</v>
      </c>
      <c r="G24" s="51"/>
      <c r="H24" s="34"/>
      <c r="I24" s="30"/>
      <c r="J24" s="210"/>
      <c r="K24" s="53"/>
    </row>
    <row r="25" spans="2:11" ht="15" thickBot="1">
      <c r="B25" s="46" t="s">
        <v>17</v>
      </c>
      <c r="C25" s="47"/>
      <c r="D25" s="48"/>
      <c r="E25" s="234">
        <v>0</v>
      </c>
      <c r="F25" s="153"/>
      <c r="G25" s="331" t="s">
        <v>21</v>
      </c>
      <c r="H25" s="332"/>
      <c r="I25" s="332"/>
      <c r="J25" s="332"/>
      <c r="K25" s="333"/>
    </row>
    <row r="26" spans="2:11">
      <c r="B26" s="202" t="s">
        <v>163</v>
      </c>
      <c r="C26" s="203"/>
      <c r="D26" s="204"/>
      <c r="E26" s="49">
        <v>0</v>
      </c>
      <c r="F26" s="153"/>
      <c r="G26" s="54"/>
      <c r="H26" s="55"/>
      <c r="I26" s="56"/>
      <c r="J26" s="211"/>
      <c r="K26" s="58"/>
    </row>
    <row r="27" spans="2:11">
      <c r="B27" s="199" t="s">
        <v>22</v>
      </c>
      <c r="C27" s="200"/>
      <c r="D27" s="201"/>
      <c r="E27" s="49">
        <v>10461.799999999999</v>
      </c>
      <c r="F27" s="221"/>
      <c r="G27" s="377" t="s">
        <v>5</v>
      </c>
      <c r="H27" s="378"/>
      <c r="I27" s="59"/>
      <c r="J27" s="60"/>
      <c r="K27" s="45"/>
    </row>
    <row r="28" spans="2:11">
      <c r="B28" s="199" t="s">
        <v>105</v>
      </c>
      <c r="C28" s="200"/>
      <c r="D28" s="201"/>
      <c r="E28" s="49">
        <v>0</v>
      </c>
      <c r="F28" s="220"/>
      <c r="G28" s="22">
        <f>23911.43-11500-8500</f>
        <v>3911.4300000000003</v>
      </c>
      <c r="H28" s="62" t="s">
        <v>9</v>
      </c>
      <c r="I28" s="59"/>
      <c r="J28" s="60"/>
      <c r="K28" s="45"/>
    </row>
    <row r="29" spans="2:11">
      <c r="B29" s="199" t="s">
        <v>24</v>
      </c>
      <c r="C29" s="200"/>
      <c r="D29" s="201"/>
      <c r="E29" s="49">
        <v>0</v>
      </c>
      <c r="F29" s="220"/>
      <c r="G29" s="22">
        <f>154819.45- 154326.09</f>
        <v>493.36000000001513</v>
      </c>
      <c r="H29" s="62" t="s">
        <v>26</v>
      </c>
      <c r="I29" s="63"/>
      <c r="J29" s="64" t="s">
        <v>27</v>
      </c>
      <c r="K29" s="65" t="s">
        <v>28</v>
      </c>
    </row>
    <row r="30" spans="2:11">
      <c r="B30" s="344" t="s">
        <v>25</v>
      </c>
      <c r="C30" s="345"/>
      <c r="D30" s="346"/>
      <c r="E30" s="49">
        <v>0</v>
      </c>
      <c r="F30" s="220"/>
      <c r="G30" s="67">
        <v>1739.26</v>
      </c>
      <c r="H30" s="68" t="s">
        <v>14</v>
      </c>
      <c r="I30" s="63"/>
      <c r="J30" s="64" t="s">
        <v>30</v>
      </c>
      <c r="K30" s="65" t="s">
        <v>31</v>
      </c>
    </row>
    <row r="31" spans="2:11" ht="15" thickBot="1">
      <c r="B31" s="363" t="s">
        <v>29</v>
      </c>
      <c r="C31" s="364"/>
      <c r="D31" s="365"/>
      <c r="E31" s="66">
        <f>185000+300000</f>
        <v>485000</v>
      </c>
      <c r="F31" s="220"/>
      <c r="G31" s="71">
        <f>258076.53-254025.53</f>
        <v>4051</v>
      </c>
      <c r="H31" s="72" t="s">
        <v>12</v>
      </c>
      <c r="I31" s="73"/>
      <c r="J31" s="74" t="s">
        <v>32</v>
      </c>
      <c r="K31" s="75" t="s">
        <v>33</v>
      </c>
    </row>
    <row r="32" spans="2:11">
      <c r="E32" s="61"/>
      <c r="F32" s="219"/>
    </row>
    <row r="33" spans="5:13">
      <c r="E33" s="61"/>
      <c r="F33" s="219"/>
    </row>
    <row r="34" spans="5:13">
      <c r="E34" s="61"/>
      <c r="F34" s="219"/>
      <c r="H34" s="61"/>
      <c r="I34" s="61"/>
      <c r="J34" s="13"/>
      <c r="K34" s="61"/>
      <c r="L34" s="61"/>
      <c r="M34" s="61"/>
    </row>
    <row r="35" spans="5:13">
      <c r="E35" s="61"/>
      <c r="F35" s="219"/>
      <c r="H35" s="61"/>
      <c r="I35" s="61"/>
      <c r="J35" s="13"/>
      <c r="K35" s="61"/>
      <c r="L35" s="61"/>
      <c r="M35" s="61"/>
    </row>
    <row r="36" spans="5:13" s="61" customFormat="1" ht="15" customHeight="1">
      <c r="E36" s="161" t="s">
        <v>200</v>
      </c>
      <c r="F36" s="197"/>
      <c r="G36" s="8"/>
      <c r="H36" s="13"/>
      <c r="J36" s="13"/>
      <c r="K36" s="83"/>
      <c r="L36" s="88"/>
    </row>
    <row r="37" spans="5:13" s="61" customFormat="1" ht="15" customHeight="1">
      <c r="E37" s="161"/>
      <c r="F37" s="197"/>
      <c r="G37" s="181"/>
      <c r="H37" s="161"/>
      <c r="I37" s="197"/>
      <c r="J37" s="13"/>
      <c r="K37" s="83"/>
      <c r="L37" s="161"/>
      <c r="M37" s="197"/>
    </row>
    <row r="38" spans="5:13" s="61" customFormat="1" ht="15" customHeight="1">
      <c r="E38" s="61" t="s">
        <v>34</v>
      </c>
      <c r="F38" s="197">
        <f>F17</f>
        <v>4249520.22</v>
      </c>
      <c r="G38" s="86"/>
      <c r="H38" s="161"/>
      <c r="I38" s="197"/>
      <c r="J38" s="13"/>
      <c r="K38" s="83"/>
      <c r="L38" s="161"/>
      <c r="M38" s="197"/>
    </row>
    <row r="39" spans="5:13" s="61" customFormat="1" ht="15" customHeight="1">
      <c r="E39" s="61" t="s">
        <v>35</v>
      </c>
      <c r="F39" s="197">
        <f>+E19</f>
        <v>10195.050000000016</v>
      </c>
      <c r="G39" s="86"/>
      <c r="I39" s="197"/>
      <c r="J39" s="13"/>
      <c r="K39" s="85"/>
      <c r="M39" s="197"/>
    </row>
    <row r="40" spans="5:13" s="61" customFormat="1" ht="15" customHeight="1">
      <c r="E40" s="61" t="s">
        <v>36</v>
      </c>
      <c r="F40" s="197">
        <v>0</v>
      </c>
      <c r="G40" s="86"/>
      <c r="I40" s="214"/>
      <c r="J40" s="13"/>
      <c r="K40" s="87"/>
      <c r="M40" s="197"/>
    </row>
    <row r="41" spans="5:13" s="61" customFormat="1" ht="15" customHeight="1">
      <c r="E41" s="61" t="s">
        <v>37</v>
      </c>
      <c r="F41" s="197">
        <v>0</v>
      </c>
      <c r="G41" s="9"/>
      <c r="I41" s="197"/>
      <c r="J41" s="13"/>
      <c r="M41" s="197"/>
    </row>
    <row r="42" spans="5:13" s="61" customFormat="1" ht="15" customHeight="1">
      <c r="E42" s="163" t="s">
        <v>38</v>
      </c>
      <c r="F42" s="229">
        <f>SUM(F38:F41)</f>
        <v>4259715.2699999996</v>
      </c>
      <c r="G42" s="9"/>
      <c r="I42" s="197"/>
      <c r="J42" s="13"/>
      <c r="M42" s="197"/>
    </row>
    <row r="43" spans="5:13" s="61" customFormat="1" ht="15" customHeight="1">
      <c r="E43" s="165"/>
      <c r="F43" s="230"/>
      <c r="G43" s="9"/>
      <c r="H43" s="163"/>
      <c r="I43" s="229"/>
      <c r="J43" s="13"/>
      <c r="L43" s="163"/>
      <c r="M43" s="229"/>
    </row>
    <row r="44" spans="5:13" s="61" customFormat="1" ht="15" customHeight="1">
      <c r="E44" s="165" t="s">
        <v>152</v>
      </c>
      <c r="F44" s="230">
        <v>135000</v>
      </c>
      <c r="G44" s="9"/>
      <c r="H44" s="165"/>
      <c r="I44" s="230"/>
      <c r="J44" s="13"/>
      <c r="L44" s="165"/>
      <c r="M44" s="230"/>
    </row>
    <row r="45" spans="5:13" s="61" customFormat="1" ht="15" customHeight="1">
      <c r="E45" s="165" t="s">
        <v>69</v>
      </c>
      <c r="F45" s="230">
        <v>0</v>
      </c>
      <c r="G45" s="9"/>
      <c r="H45" s="165"/>
      <c r="I45" s="230"/>
      <c r="J45" s="13"/>
    </row>
    <row r="46" spans="5:13" s="61" customFormat="1" ht="15" customHeight="1">
      <c r="E46" s="165" t="s">
        <v>201</v>
      </c>
      <c r="F46" s="230">
        <v>0</v>
      </c>
      <c r="G46" s="9"/>
      <c r="H46" s="91"/>
      <c r="I46" s="219"/>
      <c r="J46" s="13"/>
    </row>
    <row r="47" spans="5:13" s="61" customFormat="1">
      <c r="E47" s="165" t="s">
        <v>202</v>
      </c>
      <c r="F47" s="230">
        <v>0</v>
      </c>
      <c r="G47" s="8"/>
      <c r="H47" s="91"/>
      <c r="I47" s="219"/>
      <c r="J47" s="13"/>
    </row>
    <row r="48" spans="5:13" s="61" customFormat="1">
      <c r="E48" s="91" t="s">
        <v>24</v>
      </c>
      <c r="F48" s="219">
        <v>0</v>
      </c>
      <c r="G48" s="8"/>
      <c r="H48" s="91"/>
      <c r="I48" s="219"/>
      <c r="J48" s="13"/>
    </row>
    <row r="49" spans="5:13" s="61" customFormat="1">
      <c r="E49" s="91" t="s">
        <v>22</v>
      </c>
      <c r="F49" s="219">
        <v>50000</v>
      </c>
      <c r="G49" s="8"/>
      <c r="H49" s="91"/>
      <c r="I49" s="231"/>
      <c r="J49" s="13"/>
    </row>
    <row r="50" spans="5:13" s="61" customFormat="1">
      <c r="E50" s="91" t="s">
        <v>40</v>
      </c>
      <c r="F50" s="232">
        <f>150000-50000</f>
        <v>100000</v>
      </c>
      <c r="G50" s="8"/>
      <c r="H50" s="96"/>
      <c r="I50" s="231"/>
      <c r="J50" s="262"/>
    </row>
    <row r="51" spans="5:13" s="61" customFormat="1">
      <c r="E51" s="165" t="s">
        <v>105</v>
      </c>
      <c r="F51" s="219">
        <v>0</v>
      </c>
      <c r="G51" s="8"/>
      <c r="H51" s="96"/>
      <c r="I51" s="228"/>
      <c r="J51" s="262"/>
    </row>
    <row r="52" spans="5:13" s="61" customFormat="1">
      <c r="E52" s="91" t="s">
        <v>53</v>
      </c>
      <c r="F52" s="232">
        <v>185000</v>
      </c>
      <c r="G52" s="8"/>
      <c r="H52" s="83"/>
      <c r="I52" s="228"/>
      <c r="J52" s="13"/>
    </row>
    <row r="53" spans="5:13" s="61" customFormat="1">
      <c r="E53" s="91" t="s">
        <v>116</v>
      </c>
      <c r="F53" s="232">
        <v>30000</v>
      </c>
      <c r="G53" s="8"/>
      <c r="H53" s="83"/>
      <c r="I53" s="228"/>
      <c r="J53" s="13"/>
    </row>
    <row r="54" spans="5:13" s="61" customFormat="1">
      <c r="E54" s="91" t="s">
        <v>331</v>
      </c>
      <c r="F54" s="39">
        <v>1900000</v>
      </c>
      <c r="G54" s="8"/>
      <c r="H54" s="83"/>
      <c r="I54" s="232"/>
      <c r="J54" s="13"/>
    </row>
    <row r="55" spans="5:13" s="61" customFormat="1">
      <c r="E55" s="96" t="s">
        <v>41</v>
      </c>
      <c r="F55" s="231">
        <f>SUM(F44:F54)</f>
        <v>2400000</v>
      </c>
      <c r="G55" s="82"/>
      <c r="H55" s="83"/>
      <c r="I55" s="233"/>
      <c r="J55" s="13"/>
      <c r="L55" s="91"/>
      <c r="M55" s="232"/>
    </row>
    <row r="56" spans="5:13" s="61" customFormat="1">
      <c r="E56" s="96" t="s">
        <v>42</v>
      </c>
      <c r="F56" s="231">
        <f>F42-F55</f>
        <v>1859715.2699999996</v>
      </c>
      <c r="G56" s="82"/>
      <c r="H56" s="83"/>
      <c r="I56" s="233"/>
      <c r="J56" s="13"/>
      <c r="L56" s="91"/>
      <c r="M56" s="232"/>
    </row>
    <row r="57" spans="5:13" s="61" customFormat="1">
      <c r="F57" s="39"/>
      <c r="G57" s="82"/>
      <c r="H57" s="83"/>
      <c r="I57" s="233"/>
      <c r="J57" s="13"/>
      <c r="L57" s="96"/>
      <c r="M57" s="231"/>
    </row>
    <row r="58" spans="5:13" s="61" customFormat="1">
      <c r="E58" s="83" t="s">
        <v>43</v>
      </c>
      <c r="F58" s="151">
        <f>43800+180000</f>
        <v>223800</v>
      </c>
      <c r="G58" s="82"/>
      <c r="H58" s="96"/>
      <c r="I58" s="228"/>
      <c r="J58" s="13"/>
      <c r="L58" s="96"/>
      <c r="M58" s="233"/>
    </row>
    <row r="59" spans="5:13" s="61" customFormat="1">
      <c r="E59" s="83" t="s">
        <v>44</v>
      </c>
      <c r="F59" s="151">
        <v>365000</v>
      </c>
      <c r="G59" s="82"/>
      <c r="H59" s="83"/>
      <c r="I59" s="233"/>
      <c r="J59" s="13"/>
    </row>
    <row r="60" spans="5:13" s="61" customFormat="1">
      <c r="E60" s="83" t="s">
        <v>45</v>
      </c>
      <c r="F60" s="95">
        <v>0</v>
      </c>
      <c r="G60" s="82"/>
      <c r="H60" s="96"/>
      <c r="I60" s="219"/>
      <c r="J60" s="13"/>
      <c r="L60" s="83"/>
      <c r="M60" s="228"/>
    </row>
    <row r="61" spans="5:13">
      <c r="E61" s="83" t="s">
        <v>205</v>
      </c>
      <c r="F61" s="95">
        <v>0</v>
      </c>
      <c r="H61" s="61"/>
      <c r="I61" s="61"/>
      <c r="J61" s="13"/>
      <c r="K61" s="61"/>
      <c r="L61" s="61"/>
      <c r="M61" s="61"/>
    </row>
    <row r="62" spans="5:13">
      <c r="E62" s="83" t="s">
        <v>206</v>
      </c>
      <c r="F62" s="95">
        <v>300000</v>
      </c>
      <c r="H62" s="61"/>
      <c r="I62" s="61"/>
      <c r="J62" s="13"/>
      <c r="K62" s="61"/>
      <c r="L62" s="61"/>
      <c r="M62" s="61"/>
    </row>
    <row r="63" spans="5:13">
      <c r="E63" s="96" t="s">
        <v>46</v>
      </c>
      <c r="F63" s="99">
        <f>SUM(F58:F62)</f>
        <v>888800</v>
      </c>
    </row>
    <row r="64" spans="5:13">
      <c r="E64" s="83"/>
      <c r="F64" s="151"/>
    </row>
    <row r="65" spans="4:7">
      <c r="D65" s="247" t="s">
        <v>192</v>
      </c>
      <c r="E65" s="96" t="s">
        <v>47</v>
      </c>
      <c r="F65" s="99">
        <f>F56-F63</f>
        <v>970915.26999999955</v>
      </c>
      <c r="G65" s="8"/>
    </row>
    <row r="66" spans="4:7">
      <c r="D66" s="247" t="s">
        <v>194</v>
      </c>
      <c r="E66" s="79"/>
      <c r="G66" s="8"/>
    </row>
    <row r="67" spans="4:7">
      <c r="D67" s="8" t="s">
        <v>9</v>
      </c>
      <c r="E67" s="79"/>
      <c r="G67" s="8"/>
    </row>
    <row r="68" spans="4:7">
      <c r="D68" s="8" t="s">
        <v>195</v>
      </c>
      <c r="E68" s="79"/>
      <c r="G68" s="8"/>
    </row>
    <row r="69" spans="4:7">
      <c r="D69" s="8" t="s">
        <v>188</v>
      </c>
      <c r="G69" s="124">
        <f>SUM(E75:F75)</f>
        <v>53351.621182648327</v>
      </c>
    </row>
    <row r="70" spans="4:7">
      <c r="D70" s="8"/>
      <c r="E70" s="247"/>
      <c r="F70" s="247"/>
      <c r="G70" s="8"/>
    </row>
    <row r="71" spans="4:7">
      <c r="E71" s="247" t="s">
        <v>193</v>
      </c>
      <c r="F71" s="248" t="s">
        <v>24</v>
      </c>
    </row>
    <row r="72" spans="4:7">
      <c r="E72" s="249">
        <v>0</v>
      </c>
      <c r="F72" s="250">
        <v>20000</v>
      </c>
    </row>
    <row r="73" spans="4:7">
      <c r="E73" s="249">
        <f>125838.990762557-125000</f>
        <v>838.99076255700493</v>
      </c>
      <c r="F73" s="250">
        <v>28487.100420091323</v>
      </c>
    </row>
    <row r="74" spans="4:7">
      <c r="E74" s="249">
        <f>254025.53-250000</f>
        <v>4025.5299999999988</v>
      </c>
      <c r="F74" s="250"/>
    </row>
    <row r="75" spans="4:7">
      <c r="E75" s="124">
        <f>SUM(E72:E74)</f>
        <v>4864.5207625570038</v>
      </c>
      <c r="F75" s="250">
        <f>SUM(F72:F74)</f>
        <v>48487.100420091323</v>
      </c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2C47F-7035-4A05-9409-A4E6AC30FAD7}">
  <dimension ref="A6:R72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2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2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2" ht="15" thickBot="1">
      <c r="A14" s="1"/>
      <c r="B14" s="334" t="s">
        <v>3</v>
      </c>
      <c r="C14" s="335"/>
      <c r="D14" s="336"/>
      <c r="E14" s="17">
        <f>SUM(E15:E17)</f>
        <v>1971150.8499999999</v>
      </c>
      <c r="F14" s="153"/>
      <c r="G14" s="331" t="s">
        <v>4</v>
      </c>
      <c r="H14" s="332"/>
      <c r="I14" s="332"/>
      <c r="J14" s="332"/>
      <c r="K14" s="333"/>
      <c r="L14" s="19"/>
    </row>
    <row r="15" spans="1:12">
      <c r="A15" s="1"/>
      <c r="B15" s="337" t="s">
        <v>5</v>
      </c>
      <c r="C15" s="338"/>
      <c r="D15" s="339"/>
      <c r="E15" s="20">
        <f>J16+J17+J18+J19</f>
        <v>1827686.2599999998</v>
      </c>
      <c r="F15" s="153">
        <f>E15+E16+E17</f>
        <v>1971150.8499999999</v>
      </c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38785.31</v>
      </c>
      <c r="F16" s="153">
        <v>90000</v>
      </c>
      <c r="G16" s="22">
        <v>64180.36</v>
      </c>
      <c r="H16" s="23" t="s">
        <v>8</v>
      </c>
      <c r="I16" s="24"/>
      <c r="J16" s="25">
        <v>66843.509999999995</v>
      </c>
      <c r="K16" s="26" t="s">
        <v>9</v>
      </c>
      <c r="L16" s="13"/>
    </row>
    <row r="17" spans="2:18">
      <c r="B17" s="352" t="s">
        <v>6</v>
      </c>
      <c r="C17" s="353"/>
      <c r="D17" s="354"/>
      <c r="E17" s="28">
        <f>G16+G17+G18</f>
        <v>104679.28</v>
      </c>
      <c r="F17" s="153">
        <f>F15-F16</f>
        <v>1881150.8499999999</v>
      </c>
      <c r="G17" s="22">
        <v>17877.75</v>
      </c>
      <c r="H17" s="29" t="s">
        <v>10</v>
      </c>
      <c r="I17" s="30"/>
      <c r="J17" s="25">
        <v>31821.14</v>
      </c>
      <c r="K17" s="31" t="s">
        <v>10</v>
      </c>
    </row>
    <row r="18" spans="2:18">
      <c r="B18" s="236" t="s">
        <v>187</v>
      </c>
      <c r="C18" s="237"/>
      <c r="D18" s="238"/>
      <c r="E18" s="28">
        <f>+J22</f>
        <v>14233.6</v>
      </c>
      <c r="F18" s="153"/>
      <c r="G18" s="22">
        <v>22621.17</v>
      </c>
      <c r="H18" s="29" t="s">
        <v>12</v>
      </c>
      <c r="I18" s="30"/>
      <c r="J18" s="25">
        <v>1399051.49</v>
      </c>
      <c r="K18" s="31" t="s">
        <v>12</v>
      </c>
    </row>
    <row r="19" spans="2:18">
      <c r="B19" s="379" t="s">
        <v>11</v>
      </c>
      <c r="C19" s="380"/>
      <c r="D19" s="381"/>
      <c r="E19" s="20">
        <f>G29+G31+G30+G28</f>
        <v>10553.079999999987</v>
      </c>
      <c r="F19" s="153"/>
      <c r="G19" s="33"/>
      <c r="H19" s="34"/>
      <c r="I19" s="30"/>
      <c r="J19" s="25">
        <v>329970.12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20086505.699999999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SUM(E22:E24)</f>
        <v>0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/>
      <c r="E22" s="190"/>
      <c r="F22" s="153">
        <f>SUM(E25:E31)</f>
        <v>164311.02000000002</v>
      </c>
      <c r="G22" s="44">
        <v>13622.64</v>
      </c>
      <c r="H22" s="29" t="s">
        <v>10</v>
      </c>
      <c r="I22" s="30"/>
      <c r="J22" s="25">
        <v>14233.6</v>
      </c>
      <c r="K22" s="31" t="s">
        <v>188</v>
      </c>
      <c r="O22" s="235"/>
    </row>
    <row r="23" spans="2:18">
      <c r="B23" s="187"/>
      <c r="C23" s="188"/>
      <c r="D23" s="198"/>
      <c r="E23" s="190"/>
      <c r="F23" s="153"/>
      <c r="G23" s="44">
        <v>25162.67</v>
      </c>
      <c r="H23" s="29" t="s">
        <v>18</v>
      </c>
      <c r="I23" s="30"/>
      <c r="J23" s="25"/>
      <c r="K23" s="31"/>
    </row>
    <row r="24" spans="2:18" ht="15" thickBot="1">
      <c r="B24" s="206"/>
      <c r="C24" s="205"/>
      <c r="D24" s="208"/>
      <c r="E24" s="190"/>
      <c r="F24" s="153">
        <f>+F17-F22</f>
        <v>1716839.8299999998</v>
      </c>
      <c r="G24" s="51"/>
      <c r="H24" s="34"/>
      <c r="I24" s="30"/>
      <c r="J24" s="210"/>
      <c r="K24" s="53"/>
    </row>
    <row r="25" spans="2:18" ht="15" thickBot="1">
      <c r="B25" s="46" t="s">
        <v>17</v>
      </c>
      <c r="C25" s="47"/>
      <c r="D25" s="48"/>
      <c r="E25" s="234">
        <v>99311.02</v>
      </c>
      <c r="F25" s="153"/>
      <c r="G25" s="331" t="s">
        <v>21</v>
      </c>
      <c r="H25" s="332"/>
      <c r="I25" s="332"/>
      <c r="J25" s="332"/>
      <c r="K25" s="333"/>
      <c r="N25" s="269"/>
      <c r="Q25" s="155"/>
      <c r="R25" s="155"/>
    </row>
    <row r="26" spans="2:18">
      <c r="B26" s="202" t="s">
        <v>163</v>
      </c>
      <c r="C26" s="203"/>
      <c r="D26" s="204"/>
      <c r="E26" s="49">
        <v>0</v>
      </c>
      <c r="F26" s="153"/>
      <c r="G26" s="54"/>
      <c r="H26" s="55"/>
      <c r="I26" s="56"/>
      <c r="J26" s="211"/>
      <c r="K26" s="58"/>
      <c r="N26" s="269"/>
      <c r="P26" s="155"/>
      <c r="R26" s="155"/>
    </row>
    <row r="27" spans="2:18">
      <c r="B27" s="199" t="s">
        <v>116</v>
      </c>
      <c r="C27" s="200"/>
      <c r="D27" s="201"/>
      <c r="E27" s="49">
        <v>30000</v>
      </c>
      <c r="F27" s="221"/>
      <c r="G27" s="377" t="s">
        <v>5</v>
      </c>
      <c r="H27" s="378"/>
      <c r="I27" s="59"/>
      <c r="J27" s="60"/>
      <c r="K27" s="45"/>
    </row>
    <row r="28" spans="2:18">
      <c r="B28" s="199" t="s">
        <v>52</v>
      </c>
      <c r="C28" s="200"/>
      <c r="D28" s="201"/>
      <c r="E28" s="49">
        <v>35000</v>
      </c>
      <c r="F28" s="220"/>
      <c r="G28" s="22">
        <f>23934.93-11500-8500</f>
        <v>3934.9300000000003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24</v>
      </c>
      <c r="C29" s="200"/>
      <c r="D29" s="201"/>
      <c r="E29" s="49">
        <v>0</v>
      </c>
      <c r="F29" s="220"/>
      <c r="G29" s="22">
        <f>154876.9- 154326.09</f>
        <v>550.80999999999767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344" t="s">
        <v>25</v>
      </c>
      <c r="C30" s="345"/>
      <c r="D30" s="346"/>
      <c r="E30" s="49">
        <v>0</v>
      </c>
      <c r="F30" s="220"/>
      <c r="G30" s="67">
        <v>1741.32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63" t="s">
        <v>29</v>
      </c>
      <c r="C31" s="364"/>
      <c r="D31" s="365"/>
      <c r="E31" s="66">
        <v>0</v>
      </c>
      <c r="F31" s="220"/>
      <c r="G31" s="71">
        <f>258351.55-254025.53</f>
        <v>4326.0199999999895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61"/>
      <c r="F32" s="220"/>
      <c r="N32" s="269"/>
      <c r="P32" s="155"/>
      <c r="R32" s="155"/>
    </row>
    <row r="33" spans="5:18">
      <c r="E33" s="61"/>
      <c r="F33" s="220"/>
    </row>
    <row r="34" spans="5:18">
      <c r="E34" s="61"/>
      <c r="F34" s="220"/>
      <c r="H34" s="61"/>
      <c r="I34" s="61"/>
      <c r="J34" s="13"/>
      <c r="K34" s="61"/>
      <c r="L34" s="61"/>
      <c r="M34" s="61"/>
      <c r="N34" s="269"/>
      <c r="P34" s="155"/>
      <c r="R34" s="155"/>
    </row>
    <row r="35" spans="5:18">
      <c r="E35" s="61"/>
      <c r="F35" s="220"/>
      <c r="H35" s="61"/>
      <c r="I35" s="61"/>
      <c r="J35" s="13"/>
      <c r="K35" s="61"/>
      <c r="L35" s="61"/>
      <c r="M35" s="61"/>
    </row>
    <row r="36" spans="5:18" s="61" customFormat="1" ht="15" customHeight="1">
      <c r="E36" s="181" t="s">
        <v>332</v>
      </c>
      <c r="F36" s="222"/>
      <c r="G36" s="8"/>
      <c r="H36" s="13"/>
      <c r="J36" s="13"/>
      <c r="K36" s="83"/>
      <c r="L36" s="88"/>
      <c r="N36" s="272"/>
      <c r="P36" s="273"/>
      <c r="R36" s="273"/>
    </row>
    <row r="37" spans="5:18" s="61" customFormat="1" ht="15" customHeight="1">
      <c r="E37" s="181"/>
      <c r="F37" s="222"/>
      <c r="G37" s="181"/>
      <c r="H37" s="161"/>
      <c r="I37" s="197"/>
      <c r="J37" s="13"/>
      <c r="K37" s="83"/>
      <c r="L37" s="161"/>
      <c r="M37" s="197"/>
    </row>
    <row r="38" spans="5:18" s="61" customFormat="1" ht="15" customHeight="1">
      <c r="E38" s="8" t="s">
        <v>34</v>
      </c>
      <c r="F38" s="222">
        <f>F17</f>
        <v>1881150.8499999999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5:18" s="61" customFormat="1" ht="15" customHeight="1">
      <c r="E39" s="8" t="s">
        <v>35</v>
      </c>
      <c r="F39" s="222">
        <f>+E19</f>
        <v>10553.079999999987</v>
      </c>
      <c r="G39" s="86"/>
      <c r="I39" s="197"/>
      <c r="J39" s="13"/>
      <c r="K39" s="85"/>
      <c r="M39" s="197"/>
    </row>
    <row r="40" spans="5:18" s="61" customFormat="1" ht="15" customHeight="1">
      <c r="E40" s="8" t="s">
        <v>36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5:18" s="61" customFormat="1" ht="15" customHeight="1">
      <c r="E41" s="8" t="s">
        <v>37</v>
      </c>
      <c r="F41" s="222">
        <v>0</v>
      </c>
      <c r="G41" s="9"/>
      <c r="I41" s="197"/>
      <c r="J41" s="13"/>
      <c r="M41" s="197"/>
    </row>
    <row r="42" spans="5:18" s="61" customFormat="1" ht="15" customHeight="1">
      <c r="E42" s="182" t="s">
        <v>38</v>
      </c>
      <c r="F42" s="223">
        <f>SUM(F38:F41)</f>
        <v>1891703.93</v>
      </c>
      <c r="G42" s="9"/>
      <c r="I42" s="197"/>
      <c r="J42" s="13"/>
      <c r="M42" s="197"/>
      <c r="N42" s="272"/>
      <c r="P42" s="273"/>
      <c r="R42" s="273"/>
    </row>
    <row r="43" spans="5:18" s="61" customFormat="1" ht="15" customHeight="1">
      <c r="E43" s="183"/>
      <c r="F43" s="224"/>
      <c r="G43" s="9"/>
      <c r="H43" s="163"/>
      <c r="I43" s="229"/>
      <c r="J43" s="13"/>
      <c r="L43" s="163"/>
      <c r="M43" s="229"/>
    </row>
    <row r="44" spans="5:18" s="61" customFormat="1" ht="15" customHeight="1">
      <c r="E44" s="183" t="s">
        <v>152</v>
      </c>
      <c r="F44" s="224">
        <v>135000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5:18" s="61" customFormat="1" ht="15" customHeight="1">
      <c r="E45" s="183" t="s">
        <v>180</v>
      </c>
      <c r="F45" s="224">
        <v>45000</v>
      </c>
      <c r="G45" s="9"/>
      <c r="H45" s="165"/>
      <c r="I45" s="230"/>
      <c r="J45" s="13"/>
    </row>
    <row r="46" spans="5:18" s="61" customFormat="1" ht="15" customHeight="1">
      <c r="E46" s="183" t="s">
        <v>52</v>
      </c>
      <c r="F46" s="224">
        <v>35000</v>
      </c>
      <c r="G46" s="9"/>
      <c r="H46" s="91"/>
      <c r="I46" s="219"/>
      <c r="J46" s="13"/>
      <c r="N46" s="272"/>
      <c r="Q46" s="273"/>
      <c r="R46" s="273"/>
    </row>
    <row r="47" spans="5:18" s="61" customFormat="1">
      <c r="E47" s="183" t="s">
        <v>64</v>
      </c>
      <c r="F47" s="224">
        <v>145000</v>
      </c>
      <c r="G47" s="8"/>
      <c r="H47" s="91"/>
      <c r="I47" s="219"/>
      <c r="J47" s="13"/>
    </row>
    <row r="48" spans="5:18" s="61" customFormat="1">
      <c r="E48" s="116" t="s">
        <v>24</v>
      </c>
      <c r="F48" s="220">
        <f>15000+65000</f>
        <v>80000</v>
      </c>
      <c r="G48" s="8"/>
      <c r="H48" s="91"/>
      <c r="I48" s="219"/>
      <c r="J48" s="13"/>
      <c r="N48" s="272"/>
      <c r="Q48" s="273"/>
      <c r="R48" s="273"/>
    </row>
    <row r="49" spans="4:13" s="61" customFormat="1">
      <c r="E49" s="116" t="s">
        <v>22</v>
      </c>
      <c r="F49" s="220">
        <v>50000</v>
      </c>
      <c r="G49" s="8"/>
      <c r="H49" s="91"/>
      <c r="I49" s="231"/>
      <c r="J49" s="13"/>
    </row>
    <row r="50" spans="4:13" s="61" customFormat="1">
      <c r="E50" s="116" t="s">
        <v>40</v>
      </c>
      <c r="F50" s="226">
        <v>290000</v>
      </c>
      <c r="G50" s="8"/>
      <c r="H50" s="96"/>
      <c r="I50" s="231"/>
      <c r="J50" s="262"/>
    </row>
    <row r="51" spans="4:13" s="61" customFormat="1">
      <c r="E51" s="116" t="s">
        <v>116</v>
      </c>
      <c r="F51" s="226">
        <v>30000</v>
      </c>
      <c r="G51" s="8"/>
      <c r="H51" s="83"/>
      <c r="I51" s="228"/>
      <c r="J51" s="13"/>
    </row>
    <row r="52" spans="4:13" s="61" customFormat="1">
      <c r="E52" s="118" t="s">
        <v>41</v>
      </c>
      <c r="F52" s="225">
        <f>SUM(F44:F51)</f>
        <v>810000</v>
      </c>
      <c r="G52" s="82"/>
      <c r="H52" s="83"/>
      <c r="I52" s="233"/>
      <c r="J52" s="13"/>
      <c r="L52" s="91"/>
      <c r="M52" s="232"/>
    </row>
    <row r="53" spans="4:13" s="61" customFormat="1">
      <c r="E53" s="118" t="s">
        <v>42</v>
      </c>
      <c r="F53" s="225">
        <f>F42-F52</f>
        <v>1081703.93</v>
      </c>
      <c r="G53" s="82"/>
      <c r="H53" s="83"/>
      <c r="I53" s="233"/>
      <c r="J53" s="13"/>
      <c r="L53" s="91"/>
      <c r="M53" s="232"/>
    </row>
    <row r="54" spans="4:13" s="61" customFormat="1">
      <c r="E54" s="8"/>
      <c r="F54" s="154"/>
      <c r="G54" s="82"/>
      <c r="H54" s="83"/>
      <c r="I54" s="233"/>
      <c r="J54" s="13"/>
      <c r="L54" s="96"/>
      <c r="M54" s="231"/>
    </row>
    <row r="55" spans="4:13" s="61" customFormat="1">
      <c r="E55" s="82" t="s">
        <v>43</v>
      </c>
      <c r="F55" s="80">
        <f>43800+180000</f>
        <v>223800</v>
      </c>
      <c r="G55" s="82"/>
      <c r="H55" s="96"/>
      <c r="I55" s="228"/>
      <c r="J55" s="13"/>
      <c r="L55" s="96"/>
      <c r="M55" s="233"/>
    </row>
    <row r="56" spans="4:13" s="61" customFormat="1">
      <c r="E56" s="82" t="s">
        <v>44</v>
      </c>
      <c r="F56" s="80">
        <v>365000</v>
      </c>
      <c r="G56" s="82"/>
      <c r="H56" s="83"/>
      <c r="I56" s="233"/>
      <c r="J56" s="13"/>
    </row>
    <row r="57" spans="4:13" s="61" customFormat="1">
      <c r="E57" s="82" t="s">
        <v>45</v>
      </c>
      <c r="F57" s="117">
        <v>0</v>
      </c>
      <c r="G57" s="82"/>
      <c r="H57" s="96"/>
      <c r="I57" s="219"/>
      <c r="J57" s="13"/>
      <c r="L57" s="83"/>
      <c r="M57" s="228"/>
    </row>
    <row r="58" spans="4:13">
      <c r="E58" s="82" t="s">
        <v>205</v>
      </c>
      <c r="F58" s="117">
        <v>0</v>
      </c>
      <c r="H58" s="61"/>
      <c r="I58" s="61"/>
      <c r="J58" s="13"/>
      <c r="K58" s="61"/>
      <c r="L58" s="61"/>
      <c r="M58" s="61"/>
    </row>
    <row r="59" spans="4:13">
      <c r="E59" s="82" t="s">
        <v>206</v>
      </c>
      <c r="F59" s="117">
        <v>0</v>
      </c>
      <c r="H59" s="61"/>
      <c r="I59" s="61"/>
      <c r="J59" s="13"/>
      <c r="K59" s="61"/>
      <c r="L59" s="61"/>
      <c r="M59" s="61"/>
    </row>
    <row r="60" spans="4:13">
      <c r="E60" s="118" t="s">
        <v>46</v>
      </c>
      <c r="F60" s="120">
        <f>SUM(F55:F59)</f>
        <v>588800</v>
      </c>
    </row>
    <row r="61" spans="4:13">
      <c r="E61" s="82"/>
      <c r="F61" s="80"/>
    </row>
    <row r="62" spans="4:13">
      <c r="D62" s="247" t="s">
        <v>192</v>
      </c>
      <c r="E62" s="118" t="s">
        <v>47</v>
      </c>
      <c r="F62" s="120">
        <f>F53-F60</f>
        <v>492903.92999999993</v>
      </c>
      <c r="G62" s="8"/>
    </row>
    <row r="63" spans="4:13">
      <c r="D63" s="247" t="s">
        <v>194</v>
      </c>
      <c r="E63" s="8"/>
      <c r="F63" s="220"/>
      <c r="G63" s="8"/>
    </row>
    <row r="64" spans="4:13">
      <c r="D64" s="8" t="s">
        <v>9</v>
      </c>
      <c r="E64" s="79"/>
      <c r="G64" s="8"/>
    </row>
    <row r="65" spans="4:7">
      <c r="D65" s="8" t="s">
        <v>195</v>
      </c>
      <c r="E65" s="79"/>
      <c r="G65" s="8"/>
    </row>
    <row r="66" spans="4:7">
      <c r="D66" s="8" t="s">
        <v>188</v>
      </c>
      <c r="G66" s="124">
        <f>SUM(E72:F72)</f>
        <v>53351.621182648327</v>
      </c>
    </row>
    <row r="67" spans="4:7">
      <c r="D67" s="8"/>
      <c r="E67" s="247"/>
      <c r="F67" s="247"/>
      <c r="G67" s="8"/>
    </row>
    <row r="68" spans="4:7">
      <c r="E68" s="247" t="s">
        <v>193</v>
      </c>
      <c r="F68" s="248" t="s">
        <v>24</v>
      </c>
    </row>
    <row r="69" spans="4:7">
      <c r="E69" s="249">
        <v>0</v>
      </c>
      <c r="F69" s="250">
        <v>20000</v>
      </c>
    </row>
    <row r="70" spans="4:7">
      <c r="E70" s="249">
        <f>125838.990762557-125000</f>
        <v>838.99076255700493</v>
      </c>
      <c r="F70" s="250">
        <v>28487.100420091323</v>
      </c>
    </row>
    <row r="71" spans="4:7">
      <c r="E71" s="249">
        <f>254025.53-250000</f>
        <v>4025.5299999999988</v>
      </c>
      <c r="F71" s="250"/>
    </row>
    <row r="72" spans="4:7">
      <c r="E72" s="124">
        <f>SUM(E69:E71)</f>
        <v>4864.5207625570038</v>
      </c>
      <c r="F72" s="250">
        <f>SUM(F69:F71)</f>
        <v>48487.100420091323</v>
      </c>
    </row>
  </sheetData>
  <mergeCells count="16"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1C2A3-E78B-451F-A59E-ED132D92AC1C}">
  <dimension ref="A6:R209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2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2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2" ht="15" thickBot="1">
      <c r="A14" s="1"/>
      <c r="B14" s="334" t="s">
        <v>3</v>
      </c>
      <c r="C14" s="335"/>
      <c r="D14" s="336"/>
      <c r="E14" s="17">
        <f>SUM(E15:E17)</f>
        <v>1643940.1</v>
      </c>
      <c r="F14" s="153"/>
      <c r="G14" s="331" t="s">
        <v>4</v>
      </c>
      <c r="H14" s="332"/>
      <c r="I14" s="332"/>
      <c r="J14" s="332"/>
      <c r="K14" s="333"/>
      <c r="L14" s="19"/>
    </row>
    <row r="15" spans="1:12">
      <c r="A15" s="1"/>
      <c r="B15" s="337" t="s">
        <v>5</v>
      </c>
      <c r="C15" s="338"/>
      <c r="D15" s="339"/>
      <c r="E15" s="20">
        <f>J16+J17+J18+J19</f>
        <v>1497535.94</v>
      </c>
      <c r="F15" s="153">
        <f>E15+E16+E17</f>
        <v>1643940.1</v>
      </c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38785.31</v>
      </c>
      <c r="F16" s="153">
        <v>90000</v>
      </c>
      <c r="G16" s="22">
        <v>63867.16</v>
      </c>
      <c r="H16" s="23" t="s">
        <v>8</v>
      </c>
      <c r="I16" s="24"/>
      <c r="J16" s="25">
        <v>45441.91</v>
      </c>
      <c r="K16" s="26" t="s">
        <v>9</v>
      </c>
      <c r="L16" s="13"/>
    </row>
    <row r="17" spans="2:18">
      <c r="B17" s="352" t="s">
        <v>6</v>
      </c>
      <c r="C17" s="353"/>
      <c r="D17" s="354"/>
      <c r="E17" s="28">
        <f>G16+G17+G18</f>
        <v>107618.85</v>
      </c>
      <c r="F17" s="153">
        <f>F15-F16</f>
        <v>1553940.1</v>
      </c>
      <c r="G17" s="22">
        <v>9439.39</v>
      </c>
      <c r="H17" s="29" t="s">
        <v>10</v>
      </c>
      <c r="I17" s="30"/>
      <c r="J17" s="25">
        <v>11821.14</v>
      </c>
      <c r="K17" s="31" t="s">
        <v>10</v>
      </c>
    </row>
    <row r="18" spans="2:18">
      <c r="B18" s="236" t="s">
        <v>187</v>
      </c>
      <c r="C18" s="237"/>
      <c r="D18" s="238"/>
      <c r="E18" s="28">
        <f>+J22</f>
        <v>14233.6</v>
      </c>
      <c r="F18" s="153"/>
      <c r="G18" s="22">
        <v>34312.300000000003</v>
      </c>
      <c r="H18" s="29" t="s">
        <v>12</v>
      </c>
      <c r="I18" s="30"/>
      <c r="J18" s="25">
        <f>1249051.49- 138230.11</f>
        <v>1110821.3799999999</v>
      </c>
      <c r="K18" s="31" t="s">
        <v>12</v>
      </c>
    </row>
    <row r="19" spans="2:18">
      <c r="B19" s="379" t="s">
        <v>11</v>
      </c>
      <c r="C19" s="380"/>
      <c r="D19" s="381"/>
      <c r="E19" s="20">
        <f>G29+G31+G30+G28</f>
        <v>10644.179999999997</v>
      </c>
      <c r="F19" s="153"/>
      <c r="G19" s="33"/>
      <c r="H19" s="34"/>
      <c r="I19" s="30"/>
      <c r="J19" s="25">
        <v>329451.51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20531907.050000001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SUM(E22:E24)</f>
        <v>0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/>
      <c r="E22" s="190"/>
      <c r="F22" s="153">
        <f>SUM(E25:E31)</f>
        <v>125000</v>
      </c>
      <c r="G22" s="44">
        <v>13622.64</v>
      </c>
      <c r="H22" s="29" t="s">
        <v>10</v>
      </c>
      <c r="I22" s="30"/>
      <c r="J22" s="25">
        <v>14233.6</v>
      </c>
      <c r="K22" s="31" t="s">
        <v>188</v>
      </c>
      <c r="O22" s="235"/>
    </row>
    <row r="23" spans="2:18">
      <c r="B23" s="187"/>
      <c r="C23" s="188"/>
      <c r="D23" s="198"/>
      <c r="E23" s="190"/>
      <c r="F23" s="153"/>
      <c r="G23" s="44">
        <v>25162.67</v>
      </c>
      <c r="H23" s="29" t="s">
        <v>18</v>
      </c>
      <c r="I23" s="30"/>
      <c r="J23" s="25"/>
      <c r="K23" s="31"/>
    </row>
    <row r="24" spans="2:18" ht="15" thickBot="1">
      <c r="B24" s="206"/>
      <c r="C24" s="205"/>
      <c r="D24" s="208"/>
      <c r="E24" s="190"/>
      <c r="F24" s="153">
        <f>+F17-F22</f>
        <v>1428940.1</v>
      </c>
      <c r="G24" s="51"/>
      <c r="H24" s="34"/>
      <c r="I24" s="30"/>
      <c r="J24" s="210"/>
      <c r="K24" s="53"/>
    </row>
    <row r="25" spans="2:18" ht="15" thickBot="1">
      <c r="B25" s="46" t="s">
        <v>17</v>
      </c>
      <c r="C25" s="47"/>
      <c r="D25" s="48"/>
      <c r="E25" s="234">
        <v>0</v>
      </c>
      <c r="F25" s="153"/>
      <c r="G25" s="331" t="s">
        <v>21</v>
      </c>
      <c r="H25" s="332"/>
      <c r="I25" s="332"/>
      <c r="J25" s="332"/>
      <c r="K25" s="333"/>
      <c r="N25" s="269"/>
      <c r="Q25" s="155"/>
      <c r="R25" s="155"/>
    </row>
    <row r="26" spans="2:18">
      <c r="B26" s="202" t="s">
        <v>163</v>
      </c>
      <c r="C26" s="203"/>
      <c r="D26" s="204"/>
      <c r="E26" s="49">
        <v>45000</v>
      </c>
      <c r="F26" s="153"/>
      <c r="G26" s="54"/>
      <c r="H26" s="55"/>
      <c r="I26" s="56"/>
      <c r="J26" s="211"/>
      <c r="K26" s="58"/>
      <c r="N26" s="269"/>
      <c r="P26" s="155"/>
      <c r="R26" s="155"/>
    </row>
    <row r="27" spans="2:18">
      <c r="B27" s="199" t="s">
        <v>116</v>
      </c>
      <c r="C27" s="200"/>
      <c r="D27" s="201"/>
      <c r="E27" s="49">
        <v>0</v>
      </c>
      <c r="F27" s="221"/>
      <c r="G27" s="377" t="s">
        <v>5</v>
      </c>
      <c r="H27" s="378"/>
      <c r="I27" s="59"/>
      <c r="J27" s="60"/>
      <c r="K27" s="45"/>
    </row>
    <row r="28" spans="2:18">
      <c r="B28" s="199" t="s">
        <v>52</v>
      </c>
      <c r="C28" s="200"/>
      <c r="D28" s="201"/>
      <c r="E28" s="49">
        <v>0</v>
      </c>
      <c r="F28" s="220"/>
      <c r="G28" s="22">
        <f>23934.93-11500-8500</f>
        <v>3934.9300000000003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24</v>
      </c>
      <c r="C29" s="200"/>
      <c r="D29" s="201"/>
      <c r="E29" s="49">
        <v>80000</v>
      </c>
      <c r="F29" s="220"/>
      <c r="G29" s="22">
        <f>154898.33- 154326.09</f>
        <v>572.23999999999069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344" t="s">
        <v>25</v>
      </c>
      <c r="C30" s="345"/>
      <c r="D30" s="346"/>
      <c r="E30" s="49">
        <v>0</v>
      </c>
      <c r="F30" s="220"/>
      <c r="G30" s="67">
        <v>1741.66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63" t="s">
        <v>29</v>
      </c>
      <c r="C31" s="364"/>
      <c r="D31" s="365"/>
      <c r="E31" s="66">
        <v>0</v>
      </c>
      <c r="F31" s="220"/>
      <c r="G31" s="71">
        <f>258420.88-254025.53</f>
        <v>4395.3500000000058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61"/>
      <c r="F32" s="220"/>
      <c r="N32" s="269"/>
      <c r="P32" s="155"/>
      <c r="R32" s="155"/>
    </row>
    <row r="33" spans="5:18">
      <c r="E33" s="61"/>
      <c r="F33" s="220"/>
    </row>
    <row r="34" spans="5:18">
      <c r="E34" s="61"/>
      <c r="F34" s="220"/>
      <c r="H34" s="61"/>
      <c r="I34" s="61"/>
      <c r="J34" s="13"/>
      <c r="K34" s="61"/>
      <c r="L34" s="61"/>
      <c r="M34" s="61"/>
      <c r="N34" s="269"/>
      <c r="P34" s="155"/>
      <c r="R34" s="155"/>
    </row>
    <row r="35" spans="5:18">
      <c r="E35" s="8"/>
      <c r="F35" s="220"/>
      <c r="H35" s="61"/>
      <c r="I35" s="61"/>
      <c r="J35" s="13"/>
      <c r="K35" s="61"/>
      <c r="L35" s="61"/>
      <c r="M35" s="61"/>
    </row>
    <row r="36" spans="5:18" s="61" customFormat="1" ht="15" customHeight="1">
      <c r="E36" s="181" t="s">
        <v>332</v>
      </c>
      <c r="F36" s="222"/>
      <c r="G36" s="8"/>
      <c r="H36" s="13"/>
      <c r="J36" s="13"/>
      <c r="K36" s="83"/>
      <c r="L36" s="88"/>
      <c r="N36" s="272"/>
      <c r="P36" s="273"/>
      <c r="R36" s="273"/>
    </row>
    <row r="37" spans="5:18" s="61" customFormat="1" ht="15" customHeight="1">
      <c r="E37" s="181"/>
      <c r="F37" s="222"/>
      <c r="G37" s="181"/>
      <c r="H37" s="161"/>
      <c r="I37" s="197"/>
      <c r="J37" s="13"/>
      <c r="K37" s="83"/>
      <c r="L37" s="161"/>
      <c r="M37" s="197"/>
    </row>
    <row r="38" spans="5:18" s="61" customFormat="1" ht="15" customHeight="1">
      <c r="E38" s="8" t="s">
        <v>34</v>
      </c>
      <c r="F38" s="222">
        <f>F17</f>
        <v>1553940.1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5:18" s="61" customFormat="1" ht="15" customHeight="1">
      <c r="E39" s="8" t="s">
        <v>35</v>
      </c>
      <c r="F39" s="222">
        <f>+E19</f>
        <v>10644.179999999997</v>
      </c>
      <c r="G39" s="86"/>
      <c r="I39" s="197"/>
      <c r="J39" s="13"/>
      <c r="K39" s="85"/>
      <c r="M39" s="197"/>
    </row>
    <row r="40" spans="5:18" s="61" customFormat="1" ht="15" customHeight="1">
      <c r="E40" s="8" t="s">
        <v>36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5:18" s="61" customFormat="1" ht="15" customHeight="1">
      <c r="E41" s="8" t="s">
        <v>37</v>
      </c>
      <c r="F41" s="222">
        <v>0</v>
      </c>
      <c r="G41" s="9"/>
      <c r="I41" s="197"/>
      <c r="J41" s="13"/>
      <c r="M41" s="197"/>
    </row>
    <row r="42" spans="5:18" s="61" customFormat="1" ht="15" customHeight="1">
      <c r="E42" s="182" t="s">
        <v>38</v>
      </c>
      <c r="F42" s="223">
        <f>SUM(F38:F41)</f>
        <v>1564584.28</v>
      </c>
      <c r="G42" s="9"/>
      <c r="I42" s="197"/>
      <c r="J42" s="13"/>
      <c r="M42" s="197"/>
      <c r="N42" s="272"/>
      <c r="P42" s="273"/>
      <c r="R42" s="273"/>
    </row>
    <row r="43" spans="5:18" s="61" customFormat="1" ht="15" customHeight="1">
      <c r="E43" s="183"/>
      <c r="F43" s="224"/>
      <c r="G43" s="9"/>
      <c r="H43" s="163"/>
      <c r="I43" s="229"/>
      <c r="J43" s="13"/>
      <c r="L43" s="163"/>
      <c r="M43" s="229"/>
    </row>
    <row r="44" spans="5:18" s="61" customFormat="1" ht="15" customHeight="1">
      <c r="E44" s="183" t="s">
        <v>152</v>
      </c>
      <c r="F44" s="224">
        <v>135000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5:18" s="61" customFormat="1" ht="15" customHeight="1">
      <c r="E45" s="183" t="s">
        <v>180</v>
      </c>
      <c r="F45" s="224">
        <v>45000</v>
      </c>
      <c r="G45" s="9"/>
      <c r="H45" s="165"/>
      <c r="I45" s="230"/>
      <c r="J45" s="13"/>
    </row>
    <row r="46" spans="5:18" s="61" customFormat="1" ht="15" customHeight="1">
      <c r="E46" s="183" t="s">
        <v>52</v>
      </c>
      <c r="F46" s="224">
        <v>0</v>
      </c>
      <c r="G46" s="9"/>
      <c r="H46" s="91"/>
      <c r="I46" s="219"/>
      <c r="J46" s="13"/>
      <c r="N46" s="272"/>
      <c r="Q46" s="273"/>
      <c r="R46" s="273"/>
    </row>
    <row r="47" spans="5:18" s="61" customFormat="1">
      <c r="E47" s="183" t="s">
        <v>64</v>
      </c>
      <c r="F47" s="224">
        <v>145000</v>
      </c>
      <c r="G47" s="8"/>
      <c r="H47" s="91"/>
      <c r="I47" s="219"/>
      <c r="J47" s="13"/>
    </row>
    <row r="48" spans="5:18" s="61" customFormat="1">
      <c r="E48" s="116" t="s">
        <v>24</v>
      </c>
      <c r="F48" s="220">
        <f>15000+65000</f>
        <v>80000</v>
      </c>
      <c r="G48" s="8"/>
      <c r="H48" s="91"/>
      <c r="I48" s="219"/>
      <c r="J48" s="13"/>
      <c r="N48" s="272"/>
      <c r="Q48" s="273"/>
      <c r="R48" s="273"/>
    </row>
    <row r="49" spans="4:13" s="61" customFormat="1">
      <c r="E49" s="116" t="s">
        <v>22</v>
      </c>
      <c r="F49" s="220">
        <v>50000</v>
      </c>
      <c r="G49" s="8"/>
      <c r="H49" s="91"/>
      <c r="I49" s="231"/>
      <c r="J49" s="13"/>
    </row>
    <row r="50" spans="4:13" s="61" customFormat="1">
      <c r="E50" s="116" t="s">
        <v>40</v>
      </c>
      <c r="F50" s="226">
        <f>290000-90000</f>
        <v>200000</v>
      </c>
      <c r="G50" s="8"/>
      <c r="H50" s="96"/>
      <c r="I50" s="231"/>
      <c r="J50" s="262"/>
    </row>
    <row r="51" spans="4:13" s="61" customFormat="1">
      <c r="E51" s="116" t="s">
        <v>117</v>
      </c>
      <c r="F51" s="274">
        <v>0</v>
      </c>
      <c r="G51" s="8"/>
      <c r="H51" s="83"/>
      <c r="I51" s="228"/>
      <c r="J51" s="13"/>
    </row>
    <row r="52" spans="4:13" s="61" customFormat="1">
      <c r="E52" s="118" t="s">
        <v>41</v>
      </c>
      <c r="F52" s="225">
        <f>SUM(F44:F51)</f>
        <v>655000</v>
      </c>
      <c r="G52" s="82"/>
      <c r="H52" s="83"/>
      <c r="I52" s="233"/>
      <c r="J52" s="13"/>
      <c r="L52" s="91"/>
      <c r="M52" s="232"/>
    </row>
    <row r="53" spans="4:13" s="61" customFormat="1">
      <c r="E53" s="118" t="s">
        <v>42</v>
      </c>
      <c r="F53" s="225">
        <f>F42-F52</f>
        <v>909584.28</v>
      </c>
      <c r="G53" s="82"/>
      <c r="H53" s="83"/>
      <c r="I53" s="233"/>
      <c r="J53" s="13"/>
      <c r="L53" s="91"/>
      <c r="M53" s="232"/>
    </row>
    <row r="54" spans="4:13" s="61" customFormat="1">
      <c r="E54" s="8"/>
      <c r="F54" s="154"/>
      <c r="G54" s="82"/>
      <c r="H54" s="83"/>
      <c r="I54" s="233"/>
      <c r="J54" s="13"/>
      <c r="L54" s="96"/>
      <c r="M54" s="231"/>
    </row>
    <row r="55" spans="4:13" s="61" customFormat="1">
      <c r="E55" s="82" t="s">
        <v>43</v>
      </c>
      <c r="F55" s="80">
        <f>43800+180000</f>
        <v>223800</v>
      </c>
      <c r="G55" s="82"/>
      <c r="H55" s="96"/>
      <c r="I55" s="228"/>
      <c r="J55" s="13"/>
      <c r="L55" s="96"/>
      <c r="M55" s="233"/>
    </row>
    <row r="56" spans="4:13" s="61" customFormat="1">
      <c r="E56" s="82" t="s">
        <v>44</v>
      </c>
      <c r="F56" s="80">
        <v>365000</v>
      </c>
      <c r="G56" s="82"/>
      <c r="H56" s="83"/>
      <c r="I56" s="233"/>
      <c r="J56" s="13"/>
    </row>
    <row r="57" spans="4:13" s="61" customFormat="1">
      <c r="E57" s="82" t="s">
        <v>45</v>
      </c>
      <c r="F57" s="117">
        <v>0</v>
      </c>
      <c r="G57" s="82"/>
      <c r="H57" s="96"/>
      <c r="I57" s="219"/>
      <c r="J57" s="13"/>
      <c r="L57" s="83"/>
      <c r="M57" s="228"/>
    </row>
    <row r="58" spans="4:13">
      <c r="E58" s="82" t="s">
        <v>205</v>
      </c>
      <c r="F58" s="117">
        <v>0</v>
      </c>
      <c r="H58" s="61"/>
      <c r="I58" s="61"/>
      <c r="J58" s="13"/>
      <c r="K58" s="61"/>
      <c r="L58" s="61"/>
      <c r="M58" s="61"/>
    </row>
    <row r="59" spans="4:13">
      <c r="E59" s="82" t="s">
        <v>206</v>
      </c>
      <c r="F59" s="117">
        <v>0</v>
      </c>
      <c r="H59" s="61"/>
      <c r="I59" s="61"/>
      <c r="J59" s="13"/>
      <c r="K59" s="61"/>
      <c r="L59" s="61"/>
      <c r="M59" s="61"/>
    </row>
    <row r="60" spans="4:13">
      <c r="E60" s="118" t="s">
        <v>46</v>
      </c>
      <c r="F60" s="120">
        <f>SUM(F55:F59)</f>
        <v>588800</v>
      </c>
    </row>
    <row r="61" spans="4:13">
      <c r="E61" s="82"/>
      <c r="F61" s="80"/>
    </row>
    <row r="62" spans="4:13">
      <c r="D62" s="247" t="s">
        <v>192</v>
      </c>
      <c r="E62" s="118" t="s">
        <v>47</v>
      </c>
      <c r="F62" s="120">
        <f>F53-F60</f>
        <v>320784.28000000003</v>
      </c>
      <c r="G62" s="8"/>
    </row>
    <row r="63" spans="4:13">
      <c r="D63" s="247" t="s">
        <v>194</v>
      </c>
      <c r="E63" s="79"/>
      <c r="F63" s="220"/>
      <c r="G63" s="8"/>
    </row>
    <row r="64" spans="4:13">
      <c r="D64" s="8" t="s">
        <v>9</v>
      </c>
      <c r="E64" s="79"/>
      <c r="F64" s="220"/>
      <c r="G64" s="8"/>
    </row>
    <row r="65" spans="1:7">
      <c r="D65" s="8" t="s">
        <v>195</v>
      </c>
      <c r="E65" s="79"/>
      <c r="G65" s="8"/>
    </row>
    <row r="66" spans="1:7">
      <c r="D66" s="8" t="s">
        <v>188</v>
      </c>
      <c r="E66" s="79"/>
      <c r="G66" s="124">
        <f>SUM(E72:F72)</f>
        <v>0</v>
      </c>
    </row>
    <row r="67" spans="1:7">
      <c r="D67" s="8"/>
      <c r="E67" s="247"/>
      <c r="F67" s="247"/>
      <c r="G67" s="8"/>
    </row>
    <row r="68" spans="1:7">
      <c r="E68" s="247"/>
      <c r="F68" s="248"/>
    </row>
    <row r="69" spans="1:7">
      <c r="E69" s="249"/>
      <c r="F69" s="250"/>
    </row>
    <row r="70" spans="1:7">
      <c r="E70" s="249"/>
      <c r="F70" s="250"/>
    </row>
    <row r="71" spans="1:7">
      <c r="E71" s="249"/>
      <c r="F71" s="250"/>
    </row>
    <row r="72" spans="1:7">
      <c r="E72" s="124"/>
      <c r="F72" s="250"/>
    </row>
    <row r="73" spans="1:7">
      <c r="A73" s="268"/>
    </row>
    <row r="76" spans="1:7">
      <c r="B76" s="235"/>
    </row>
    <row r="79" spans="1:7">
      <c r="A79" s="269"/>
      <c r="C79" s="155"/>
      <c r="E79" s="155"/>
    </row>
    <row r="81" spans="1:5">
      <c r="A81" s="269"/>
      <c r="C81" s="155"/>
      <c r="E81" s="155"/>
    </row>
    <row r="83" spans="1:5">
      <c r="A83" s="269"/>
      <c r="C83" s="155"/>
      <c r="E83" s="155"/>
    </row>
    <row r="85" spans="1:5">
      <c r="A85" s="269"/>
      <c r="C85" s="155"/>
      <c r="E85" s="155"/>
    </row>
    <row r="87" spans="1:5">
      <c r="A87" s="269"/>
      <c r="C87" s="155"/>
      <c r="E87" s="155"/>
    </row>
    <row r="89" spans="1:5">
      <c r="A89" s="269"/>
      <c r="C89" s="155"/>
      <c r="E89" s="155"/>
    </row>
    <row r="91" spans="1:5">
      <c r="A91" s="269"/>
      <c r="C91" s="155"/>
      <c r="E91" s="155"/>
    </row>
    <row r="93" spans="1:5">
      <c r="A93" s="269"/>
      <c r="C93" s="155"/>
      <c r="E93" s="155"/>
    </row>
    <row r="95" spans="1:5">
      <c r="A95" s="269"/>
      <c r="C95" s="155"/>
      <c r="E95" s="155"/>
    </row>
    <row r="97" spans="1:5">
      <c r="A97" s="269"/>
      <c r="C97" s="155"/>
      <c r="E97" s="155"/>
    </row>
    <row r="99" spans="1:5">
      <c r="A99" s="269"/>
      <c r="C99" s="155"/>
      <c r="E99" s="155"/>
    </row>
    <row r="101" spans="1:5">
      <c r="A101" s="269"/>
      <c r="C101" s="155"/>
      <c r="E101" s="155"/>
    </row>
    <row r="103" spans="1:5">
      <c r="A103" s="269"/>
      <c r="C103" s="155"/>
      <c r="E103" s="155"/>
    </row>
    <row r="105" spans="1:5">
      <c r="A105" s="269"/>
      <c r="C105" s="155"/>
      <c r="E105" s="155"/>
    </row>
    <row r="107" spans="1:5">
      <c r="A107" s="269"/>
      <c r="C107" s="155"/>
      <c r="E107" s="155"/>
    </row>
    <row r="109" spans="1:5">
      <c r="A109" s="269"/>
      <c r="C109" s="155"/>
      <c r="E109" s="155"/>
    </row>
    <row r="111" spans="1:5">
      <c r="A111" s="269"/>
      <c r="C111" s="155"/>
      <c r="E111" s="155"/>
    </row>
    <row r="113" spans="1:5">
      <c r="A113" s="269"/>
      <c r="C113" s="155"/>
      <c r="E113" s="155"/>
    </row>
    <row r="115" spans="1:5">
      <c r="A115" s="269"/>
      <c r="C115" s="155"/>
      <c r="E115" s="155"/>
    </row>
    <row r="117" spans="1:5">
      <c r="A117" s="269"/>
      <c r="C117" s="155"/>
      <c r="E117" s="155"/>
    </row>
    <row r="119" spans="1:5">
      <c r="A119" s="269"/>
      <c r="C119" s="155"/>
      <c r="E119" s="155"/>
    </row>
    <row r="121" spans="1:5">
      <c r="A121" s="269"/>
      <c r="C121" s="155"/>
      <c r="E121" s="155"/>
    </row>
    <row r="123" spans="1:5">
      <c r="A123" s="269"/>
      <c r="C123" s="155"/>
      <c r="E123" s="155"/>
    </row>
    <row r="125" spans="1:5">
      <c r="A125" s="269"/>
      <c r="C125" s="155"/>
      <c r="E125" s="155"/>
    </row>
    <row r="127" spans="1:5">
      <c r="A127" s="269"/>
      <c r="C127" s="155"/>
      <c r="E127" s="155"/>
    </row>
    <row r="129" spans="1:5">
      <c r="A129" s="269"/>
      <c r="C129" s="155"/>
      <c r="E129" s="155"/>
    </row>
    <row r="131" spans="1:5">
      <c r="A131" s="269"/>
      <c r="C131" s="155"/>
      <c r="E131" s="155"/>
    </row>
    <row r="133" spans="1:5">
      <c r="A133" s="269"/>
      <c r="C133" s="155"/>
      <c r="E133" s="155"/>
    </row>
    <row r="135" spans="1:5">
      <c r="A135" s="269"/>
      <c r="C135" s="155"/>
      <c r="E135" s="155"/>
    </row>
    <row r="137" spans="1:5">
      <c r="A137" s="269"/>
      <c r="C137" s="155"/>
      <c r="E137" s="155"/>
    </row>
    <row r="139" spans="1:5">
      <c r="A139" s="269"/>
      <c r="C139" s="155"/>
      <c r="E139" s="155"/>
    </row>
    <row r="141" spans="1:5">
      <c r="A141" s="269"/>
      <c r="C141" s="155"/>
      <c r="E141" s="155"/>
    </row>
    <row r="143" spans="1:5">
      <c r="A143" s="269"/>
      <c r="C143" s="155"/>
      <c r="E143" s="155"/>
    </row>
    <row r="145" spans="1:5">
      <c r="A145" s="269"/>
      <c r="C145" s="155"/>
      <c r="E145" s="155"/>
    </row>
    <row r="147" spans="1:5">
      <c r="A147" s="269"/>
      <c r="C147" s="155"/>
      <c r="E147" s="155"/>
    </row>
    <row r="149" spans="1:5">
      <c r="A149" s="269"/>
      <c r="C149" s="155"/>
      <c r="E149" s="155"/>
    </row>
    <row r="151" spans="1:5">
      <c r="A151" s="269"/>
      <c r="C151" s="155"/>
      <c r="E151" s="155"/>
    </row>
    <row r="153" spans="1:5">
      <c r="A153" s="269"/>
      <c r="C153" s="155"/>
      <c r="E153" s="155"/>
    </row>
    <row r="155" spans="1:5">
      <c r="A155" s="269"/>
      <c r="C155" s="155"/>
      <c r="E155" s="155"/>
    </row>
    <row r="157" spans="1:5">
      <c r="A157" s="269"/>
      <c r="C157" s="155"/>
      <c r="E157" s="155"/>
    </row>
    <row r="159" spans="1:5">
      <c r="A159" s="269"/>
      <c r="C159" s="155"/>
      <c r="E159" s="155"/>
    </row>
    <row r="161" spans="1:5">
      <c r="A161" s="269"/>
      <c r="C161" s="155"/>
      <c r="E161" s="155"/>
    </row>
    <row r="163" spans="1:5">
      <c r="A163" s="269"/>
      <c r="C163" s="155"/>
      <c r="E163" s="155"/>
    </row>
    <row r="165" spans="1:5">
      <c r="A165" s="269"/>
      <c r="C165" s="155"/>
      <c r="E165" s="155"/>
    </row>
    <row r="167" spans="1:5">
      <c r="A167" s="269"/>
      <c r="C167" s="155"/>
      <c r="E167" s="155"/>
    </row>
    <row r="169" spans="1:5">
      <c r="A169" s="269"/>
      <c r="C169" s="155"/>
      <c r="E169" s="155"/>
    </row>
    <row r="171" spans="1:5">
      <c r="A171" s="269"/>
      <c r="C171" s="155"/>
      <c r="E171" s="155"/>
    </row>
    <row r="173" spans="1:5">
      <c r="A173" s="269"/>
      <c r="C173" s="155"/>
      <c r="E173" s="155"/>
    </row>
    <row r="175" spans="1:5">
      <c r="A175" s="269"/>
      <c r="C175" s="155"/>
      <c r="E175" s="155"/>
    </row>
    <row r="177" spans="1:5">
      <c r="A177" s="269"/>
      <c r="C177" s="155"/>
      <c r="E177" s="155"/>
    </row>
    <row r="179" spans="1:5">
      <c r="A179" s="269"/>
      <c r="C179" s="155"/>
      <c r="E179" s="155"/>
    </row>
    <row r="181" spans="1:5">
      <c r="A181" s="269"/>
      <c r="C181" s="155"/>
      <c r="E181" s="155"/>
    </row>
    <row r="183" spans="1:5">
      <c r="A183" s="269"/>
      <c r="C183" s="155"/>
      <c r="E183" s="155"/>
    </row>
    <row r="185" spans="1:5">
      <c r="A185" s="269"/>
      <c r="C185" s="155"/>
      <c r="E185" s="155"/>
    </row>
    <row r="187" spans="1:5">
      <c r="A187" s="269"/>
      <c r="C187" s="155"/>
      <c r="E187" s="155"/>
    </row>
    <row r="189" spans="1:5">
      <c r="A189" s="269"/>
      <c r="C189" s="155"/>
      <c r="E189" s="155"/>
    </row>
    <row r="191" spans="1:5">
      <c r="A191" s="269"/>
      <c r="C191" s="155"/>
      <c r="E191" s="155"/>
    </row>
    <row r="193" spans="1:5">
      <c r="A193" s="269"/>
      <c r="C193" s="155"/>
      <c r="E193" s="155"/>
    </row>
    <row r="195" spans="1:5">
      <c r="A195" s="269"/>
      <c r="C195" s="155"/>
      <c r="E195" s="155"/>
    </row>
    <row r="197" spans="1:5">
      <c r="A197" s="269"/>
      <c r="C197" s="155"/>
      <c r="E197" s="155"/>
    </row>
    <row r="199" spans="1:5">
      <c r="A199" s="269"/>
      <c r="D199" s="155"/>
      <c r="E199" s="155"/>
    </row>
    <row r="201" spans="1:5">
      <c r="A201" s="269"/>
      <c r="C201" s="155"/>
      <c r="E201" s="155"/>
    </row>
    <row r="203" spans="1:5">
      <c r="A203" s="269"/>
      <c r="C203" s="155"/>
      <c r="E203" s="155"/>
    </row>
    <row r="205" spans="1:5">
      <c r="A205" s="269"/>
      <c r="C205" s="155"/>
      <c r="E205" s="155"/>
    </row>
    <row r="207" spans="1:5">
      <c r="A207" s="269"/>
      <c r="C207" s="155"/>
      <c r="E207" s="155"/>
    </row>
    <row r="209" spans="1:5">
      <c r="A209" s="269"/>
      <c r="C209" s="155"/>
      <c r="E209" s="155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F1FAF-CBE1-48B1-B5B2-86AC5DC70C98}">
  <dimension ref="A6:R210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2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2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2" ht="15" thickBot="1">
      <c r="A14" s="1"/>
      <c r="B14" s="334" t="s">
        <v>3</v>
      </c>
      <c r="C14" s="335"/>
      <c r="D14" s="336"/>
      <c r="E14" s="17">
        <f>SUM(E15:E17)</f>
        <v>1660919.1799999997</v>
      </c>
      <c r="F14" s="153"/>
      <c r="G14" s="331" t="s">
        <v>4</v>
      </c>
      <c r="H14" s="332"/>
      <c r="I14" s="332"/>
      <c r="J14" s="332"/>
      <c r="K14" s="333"/>
      <c r="L14" s="19"/>
    </row>
    <row r="15" spans="1:12">
      <c r="A15" s="1"/>
      <c r="B15" s="337" t="s">
        <v>5</v>
      </c>
      <c r="C15" s="338"/>
      <c r="D15" s="339"/>
      <c r="E15" s="20">
        <f>J16+J17+J18+J19</f>
        <v>1509937.2099999997</v>
      </c>
      <c r="F15" s="153">
        <f>E15+E16+E17</f>
        <v>1660919.1799999997</v>
      </c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38785.31</v>
      </c>
      <c r="F16" s="153">
        <v>90000</v>
      </c>
      <c r="G16" s="22">
        <v>63867.16</v>
      </c>
      <c r="H16" s="23" t="s">
        <v>8</v>
      </c>
      <c r="I16" s="24"/>
      <c r="J16" s="25">
        <v>41499.160000000003</v>
      </c>
      <c r="K16" s="26" t="s">
        <v>9</v>
      </c>
      <c r="L16" s="13"/>
    </row>
    <row r="17" spans="2:18">
      <c r="B17" s="352" t="s">
        <v>6</v>
      </c>
      <c r="C17" s="353"/>
      <c r="D17" s="354"/>
      <c r="E17" s="28">
        <f>G16+G17+G18</f>
        <v>112196.66</v>
      </c>
      <c r="F17" s="153">
        <f>F15-F16</f>
        <v>1570919.1799999997</v>
      </c>
      <c r="G17" s="22">
        <v>14017.2</v>
      </c>
      <c r="H17" s="29" t="s">
        <v>10</v>
      </c>
      <c r="I17" s="30"/>
      <c r="J17" s="25">
        <v>48062.74</v>
      </c>
      <c r="K17" s="31" t="s">
        <v>10</v>
      </c>
    </row>
    <row r="18" spans="2:18">
      <c r="B18" s="236" t="s">
        <v>187</v>
      </c>
      <c r="C18" s="237"/>
      <c r="D18" s="238"/>
      <c r="E18" s="28">
        <f>+J22</f>
        <v>14541.8</v>
      </c>
      <c r="F18" s="153"/>
      <c r="G18" s="22">
        <v>34312.300000000003</v>
      </c>
      <c r="H18" s="29" t="s">
        <v>12</v>
      </c>
      <c r="I18" s="30"/>
      <c r="J18" s="25">
        <f>1214573.49- 138230.11</f>
        <v>1076343.3799999999</v>
      </c>
      <c r="K18" s="31" t="s">
        <v>12</v>
      </c>
    </row>
    <row r="19" spans="2:18">
      <c r="B19" s="379" t="s">
        <v>11</v>
      </c>
      <c r="C19" s="380"/>
      <c r="D19" s="381"/>
      <c r="E19" s="20">
        <f>G29+G31+G30+G28</f>
        <v>10741.129999999985</v>
      </c>
      <c r="F19" s="153"/>
      <c r="G19" s="33"/>
      <c r="H19" s="34"/>
      <c r="I19" s="30"/>
      <c r="J19" s="25">
        <v>344031.93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20977456.449999999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SUM(E22:E25)</f>
        <v>109269.87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333</v>
      </c>
      <c r="E22" s="190">
        <v>522</v>
      </c>
      <c r="F22" s="153">
        <f>SUM(E26:E32)</f>
        <v>105539.84</v>
      </c>
      <c r="G22" s="44">
        <v>13622.64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187"/>
      <c r="C23" s="188"/>
      <c r="D23" s="198" t="s">
        <v>118</v>
      </c>
      <c r="E23" s="190">
        <v>28891.62</v>
      </c>
      <c r="F23" s="153"/>
      <c r="G23" s="44">
        <v>25162.67</v>
      </c>
      <c r="H23" s="29" t="s">
        <v>18</v>
      </c>
      <c r="I23" s="30"/>
      <c r="J23" s="25"/>
      <c r="K23" s="31"/>
    </row>
    <row r="24" spans="2:18" ht="15" thickBot="1">
      <c r="B24" s="187"/>
      <c r="C24" s="188"/>
      <c r="D24" s="198" t="s">
        <v>118</v>
      </c>
      <c r="E24" s="190">
        <v>36057.25</v>
      </c>
      <c r="F24" s="153"/>
      <c r="G24" s="51"/>
      <c r="H24" s="34"/>
      <c r="I24" s="30"/>
      <c r="J24" s="210"/>
      <c r="K24" s="53"/>
    </row>
    <row r="25" spans="2:18" ht="15" thickBot="1">
      <c r="B25" s="206"/>
      <c r="C25" s="205"/>
      <c r="D25" s="208" t="s">
        <v>118</v>
      </c>
      <c r="E25" s="190">
        <v>43799</v>
      </c>
      <c r="F25" s="153">
        <f>+F17-F22</f>
        <v>1465379.3399999996</v>
      </c>
      <c r="G25" s="331" t="s">
        <v>21</v>
      </c>
      <c r="H25" s="332"/>
      <c r="I25" s="332"/>
      <c r="J25" s="332"/>
      <c r="K25" s="333"/>
      <c r="N25" s="269"/>
      <c r="Q25" s="155"/>
      <c r="R25" s="155"/>
    </row>
    <row r="26" spans="2:18">
      <c r="B26" s="46" t="s">
        <v>17</v>
      </c>
      <c r="C26" s="47"/>
      <c r="D26" s="48"/>
      <c r="E26" s="234">
        <v>105539.84</v>
      </c>
      <c r="F26" s="153"/>
      <c r="G26" s="54"/>
      <c r="H26" s="55"/>
      <c r="I26" s="56"/>
      <c r="J26" s="211"/>
      <c r="K26" s="58"/>
      <c r="N26" s="269"/>
      <c r="P26" s="155"/>
      <c r="R26" s="155"/>
    </row>
    <row r="27" spans="2:18">
      <c r="B27" s="202" t="s">
        <v>163</v>
      </c>
      <c r="C27" s="203"/>
      <c r="D27" s="204"/>
      <c r="E27" s="49">
        <v>0</v>
      </c>
      <c r="F27" s="153"/>
      <c r="G27" s="377" t="s">
        <v>5</v>
      </c>
      <c r="H27" s="378"/>
      <c r="I27" s="59"/>
      <c r="J27" s="60"/>
      <c r="K27" s="45"/>
    </row>
    <row r="28" spans="2:18">
      <c r="B28" s="199" t="s">
        <v>116</v>
      </c>
      <c r="C28" s="200"/>
      <c r="D28" s="201"/>
      <c r="E28" s="49">
        <v>0</v>
      </c>
      <c r="F28" s="221"/>
      <c r="G28" s="22">
        <f>23940.76-11500-8500</f>
        <v>3940.7599999999984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52</v>
      </c>
      <c r="C29" s="200"/>
      <c r="D29" s="201"/>
      <c r="E29" s="49">
        <v>0</v>
      </c>
      <c r="F29" s="220"/>
      <c r="G29" s="22">
        <f>154919.77- 154326.09</f>
        <v>593.67999999999302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199" t="s">
        <v>24</v>
      </c>
      <c r="C30" s="200"/>
      <c r="D30" s="201"/>
      <c r="E30" s="49">
        <v>0</v>
      </c>
      <c r="F30" s="220"/>
      <c r="G30" s="67">
        <v>1742.01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44" t="s">
        <v>25</v>
      </c>
      <c r="C31" s="345"/>
      <c r="D31" s="346"/>
      <c r="E31" s="49">
        <v>0</v>
      </c>
      <c r="F31" s="220"/>
      <c r="G31" s="71">
        <f>258490.21-254025.53</f>
        <v>4464.679999999993</v>
      </c>
      <c r="H31" s="72" t="s">
        <v>12</v>
      </c>
      <c r="I31" s="73"/>
      <c r="J31" s="74" t="s">
        <v>32</v>
      </c>
      <c r="K31" s="75" t="s">
        <v>33</v>
      </c>
    </row>
    <row r="32" spans="2:18" ht="15" thickBot="1">
      <c r="B32" s="363" t="s">
        <v>29</v>
      </c>
      <c r="C32" s="364"/>
      <c r="D32" s="365"/>
      <c r="E32" s="66">
        <v>0</v>
      </c>
      <c r="F32" s="220"/>
      <c r="N32" s="269"/>
      <c r="P32" s="155"/>
      <c r="R32" s="155"/>
    </row>
    <row r="33" spans="1:18">
      <c r="E33" s="61"/>
      <c r="F33" s="219"/>
    </row>
    <row r="34" spans="1:18">
      <c r="E34" s="61"/>
      <c r="F34" s="219"/>
      <c r="H34" s="61"/>
      <c r="I34" s="61"/>
      <c r="J34" s="13"/>
      <c r="K34" s="61"/>
      <c r="L34" s="61"/>
      <c r="M34" s="61"/>
      <c r="N34" s="269"/>
      <c r="P34" s="155"/>
      <c r="R34" s="155"/>
    </row>
    <row r="35" spans="1:18">
      <c r="E35" s="61"/>
      <c r="F35" s="219"/>
      <c r="H35" s="61"/>
      <c r="I35" s="61"/>
      <c r="J35" s="13"/>
      <c r="K35" s="61"/>
      <c r="L35" s="61"/>
      <c r="M35" s="61"/>
    </row>
    <row r="36" spans="1:18" s="61" customFormat="1" ht="15" customHeight="1">
      <c r="A36"/>
      <c r="B36"/>
      <c r="C36"/>
      <c r="D36"/>
      <c r="F36" s="219"/>
      <c r="G36" s="8"/>
      <c r="H36" s="13"/>
      <c r="J36" s="13"/>
      <c r="K36" s="83"/>
      <c r="L36" s="88"/>
      <c r="N36" s="272"/>
      <c r="P36" s="273"/>
      <c r="R36" s="273"/>
    </row>
    <row r="37" spans="1:18" s="61" customFormat="1" ht="15" customHeight="1">
      <c r="E37" s="161" t="s">
        <v>332</v>
      </c>
      <c r="F37" s="197"/>
      <c r="G37" s="181"/>
      <c r="H37" s="161"/>
      <c r="I37" s="197"/>
      <c r="J37" s="13"/>
      <c r="K37" s="83"/>
      <c r="L37" s="161"/>
      <c r="M37" s="197"/>
    </row>
    <row r="38" spans="1:18" s="61" customFormat="1" ht="15" customHeight="1">
      <c r="E38" s="161"/>
      <c r="F38" s="197"/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1:18" s="61" customFormat="1" ht="15" customHeight="1">
      <c r="E39" s="61" t="s">
        <v>34</v>
      </c>
      <c r="F39" s="197">
        <f>F17</f>
        <v>1570919.1799999997</v>
      </c>
      <c r="G39" s="86"/>
      <c r="I39" s="197"/>
      <c r="J39" s="13"/>
      <c r="K39" s="85"/>
      <c r="M39" s="197"/>
    </row>
    <row r="40" spans="1:18" s="61" customFormat="1" ht="15" customHeight="1">
      <c r="E40" s="61" t="s">
        <v>35</v>
      </c>
      <c r="F40" s="197">
        <f>+E19</f>
        <v>10741.129999999985</v>
      </c>
      <c r="G40" s="86"/>
      <c r="I40" s="214"/>
      <c r="J40" s="13"/>
      <c r="K40" s="87"/>
      <c r="M40" s="197"/>
      <c r="N40" s="272"/>
      <c r="P40" s="273"/>
      <c r="R40" s="273"/>
    </row>
    <row r="41" spans="1:18" s="61" customFormat="1" ht="15" customHeight="1">
      <c r="E41" s="61" t="s">
        <v>36</v>
      </c>
      <c r="F41" s="197">
        <v>0</v>
      </c>
      <c r="G41" s="9"/>
      <c r="I41" s="197"/>
      <c r="J41" s="13"/>
      <c r="M41" s="197"/>
    </row>
    <row r="42" spans="1:18" s="61" customFormat="1" ht="15" customHeight="1">
      <c r="E42" s="61" t="s">
        <v>37</v>
      </c>
      <c r="F42" s="197">
        <v>0</v>
      </c>
      <c r="G42" s="9"/>
      <c r="I42" s="197"/>
      <c r="J42" s="13"/>
      <c r="M42" s="197"/>
      <c r="N42" s="272"/>
      <c r="P42" s="273"/>
      <c r="R42" s="273"/>
    </row>
    <row r="43" spans="1:18" s="61" customFormat="1" ht="15" customHeight="1">
      <c r="E43" s="163" t="s">
        <v>38</v>
      </c>
      <c r="F43" s="229">
        <f>SUM(F39:F42)</f>
        <v>1581660.3099999996</v>
      </c>
      <c r="G43" s="9"/>
      <c r="H43" s="163"/>
      <c r="I43" s="229"/>
      <c r="J43" s="13"/>
      <c r="L43" s="163"/>
      <c r="M43" s="229"/>
    </row>
    <row r="44" spans="1:18" s="61" customFormat="1" ht="15" customHeight="1">
      <c r="E44" s="165"/>
      <c r="F44" s="230"/>
      <c r="G44" s="9"/>
      <c r="H44" s="165"/>
      <c r="I44" s="230"/>
      <c r="J44" s="13"/>
      <c r="L44" s="165"/>
      <c r="M44" s="230"/>
      <c r="N44" s="272"/>
      <c r="P44" s="273"/>
      <c r="R44" s="273"/>
    </row>
    <row r="45" spans="1:18" s="61" customFormat="1" ht="15" customHeight="1">
      <c r="E45" s="165" t="s">
        <v>152</v>
      </c>
      <c r="F45" s="230">
        <v>135000</v>
      </c>
      <c r="G45" s="9"/>
      <c r="H45" s="165"/>
      <c r="I45" s="230"/>
      <c r="J45" s="13"/>
    </row>
    <row r="46" spans="1:18" s="61" customFormat="1" ht="15" customHeight="1">
      <c r="E46" s="165" t="s">
        <v>180</v>
      </c>
      <c r="F46" s="230">
        <v>0</v>
      </c>
      <c r="G46" s="9"/>
      <c r="H46" s="91"/>
      <c r="I46" s="219"/>
      <c r="J46" s="13"/>
      <c r="N46" s="272"/>
      <c r="Q46" s="273"/>
      <c r="R46" s="273"/>
    </row>
    <row r="47" spans="1:18" s="61" customFormat="1">
      <c r="E47" s="165" t="s">
        <v>52</v>
      </c>
      <c r="F47" s="230">
        <v>0</v>
      </c>
      <c r="G47" s="8"/>
      <c r="H47" s="91"/>
      <c r="I47" s="219"/>
      <c r="J47" s="13"/>
    </row>
    <row r="48" spans="1:18" s="61" customFormat="1">
      <c r="E48" s="165" t="s">
        <v>64</v>
      </c>
      <c r="F48" s="230">
        <v>145000</v>
      </c>
      <c r="G48" s="8"/>
      <c r="H48" s="91"/>
      <c r="I48" s="219"/>
      <c r="J48" s="13"/>
      <c r="N48" s="272"/>
      <c r="Q48" s="273"/>
      <c r="R48" s="273"/>
    </row>
    <row r="49" spans="1:13" s="61" customFormat="1">
      <c r="E49" s="91" t="s">
        <v>24</v>
      </c>
      <c r="F49" s="219">
        <v>0</v>
      </c>
      <c r="G49" s="8"/>
      <c r="H49" s="91"/>
      <c r="I49" s="231"/>
      <c r="J49" s="13"/>
    </row>
    <row r="50" spans="1:13" s="61" customFormat="1">
      <c r="E50" s="91" t="s">
        <v>22</v>
      </c>
      <c r="F50" s="219">
        <v>50000</v>
      </c>
      <c r="G50" s="8"/>
      <c r="H50" s="96"/>
      <c r="I50" s="231"/>
      <c r="J50" s="262"/>
    </row>
    <row r="51" spans="1:13" s="61" customFormat="1">
      <c r="E51" s="91" t="s">
        <v>40</v>
      </c>
      <c r="F51" s="232">
        <f>290000-90000</f>
        <v>200000</v>
      </c>
      <c r="G51" s="8"/>
      <c r="H51" s="83"/>
      <c r="I51" s="228"/>
      <c r="J51" s="13"/>
    </row>
    <row r="52" spans="1:13" s="61" customFormat="1">
      <c r="E52" s="91" t="s">
        <v>117</v>
      </c>
      <c r="F52" s="278">
        <v>0</v>
      </c>
      <c r="G52" s="82"/>
      <c r="H52" s="83"/>
      <c r="I52" s="233"/>
      <c r="J52" s="13"/>
      <c r="L52" s="91"/>
      <c r="M52" s="232"/>
    </row>
    <row r="53" spans="1:13" s="61" customFormat="1">
      <c r="E53" s="96" t="s">
        <v>41</v>
      </c>
      <c r="F53" s="231">
        <f>SUM(F45:F52)</f>
        <v>530000</v>
      </c>
      <c r="G53" s="82"/>
      <c r="H53" s="83"/>
      <c r="I53" s="233"/>
      <c r="J53" s="13"/>
      <c r="L53" s="91"/>
      <c r="M53" s="232"/>
    </row>
    <row r="54" spans="1:13" s="61" customFormat="1">
      <c r="E54" s="96" t="s">
        <v>42</v>
      </c>
      <c r="F54" s="231">
        <f>F43-F53</f>
        <v>1051660.3099999996</v>
      </c>
      <c r="G54" s="82"/>
      <c r="H54" s="83"/>
      <c r="I54" s="233"/>
      <c r="J54" s="13"/>
      <c r="L54" s="96"/>
      <c r="M54" s="231"/>
    </row>
    <row r="55" spans="1:13" s="61" customFormat="1">
      <c r="F55" s="39"/>
      <c r="G55" s="82"/>
      <c r="H55" s="96"/>
      <c r="I55" s="228"/>
      <c r="J55" s="13"/>
      <c r="L55" s="96"/>
      <c r="M55" s="233"/>
    </row>
    <row r="56" spans="1:13" s="61" customFormat="1">
      <c r="E56" s="83" t="s">
        <v>43</v>
      </c>
      <c r="F56" s="151">
        <f>43800+180000</f>
        <v>223800</v>
      </c>
      <c r="G56" s="82"/>
      <c r="H56" s="83"/>
      <c r="I56" s="233"/>
      <c r="J56" s="13"/>
    </row>
    <row r="57" spans="1:13" s="61" customFormat="1">
      <c r="E57" s="83" t="s">
        <v>44</v>
      </c>
      <c r="F57" s="151">
        <v>365000</v>
      </c>
      <c r="G57" s="82"/>
      <c r="H57" s="96"/>
      <c r="I57" s="219"/>
      <c r="J57" s="13"/>
      <c r="L57" s="83"/>
      <c r="M57" s="228"/>
    </row>
    <row r="58" spans="1:13">
      <c r="A58" s="61"/>
      <c r="B58" s="61"/>
      <c r="C58" s="61"/>
      <c r="D58" s="61"/>
      <c r="E58" s="83" t="s">
        <v>45</v>
      </c>
      <c r="F58" s="95">
        <v>0</v>
      </c>
      <c r="H58" s="61"/>
      <c r="I58" s="61"/>
      <c r="J58" s="13"/>
      <c r="K58" s="61"/>
      <c r="L58" s="61"/>
      <c r="M58" s="61"/>
    </row>
    <row r="59" spans="1:13">
      <c r="E59" s="83" t="s">
        <v>205</v>
      </c>
      <c r="F59" s="95">
        <v>0</v>
      </c>
      <c r="H59" s="61"/>
      <c r="I59" s="61"/>
      <c r="J59" s="13"/>
      <c r="K59" s="61"/>
      <c r="L59" s="61"/>
      <c r="M59" s="61"/>
    </row>
    <row r="60" spans="1:13">
      <c r="E60" s="83" t="s">
        <v>206</v>
      </c>
      <c r="F60" s="95">
        <v>0</v>
      </c>
    </row>
    <row r="61" spans="1:13">
      <c r="E61" s="96" t="s">
        <v>46</v>
      </c>
      <c r="F61" s="99">
        <f>SUM(F56:F60)</f>
        <v>588800</v>
      </c>
    </row>
    <row r="62" spans="1:13">
      <c r="E62" s="83"/>
      <c r="F62" s="151"/>
      <c r="G62" s="8"/>
    </row>
    <row r="63" spans="1:13">
      <c r="D63" s="247" t="s">
        <v>192</v>
      </c>
      <c r="E63" s="96" t="s">
        <v>47</v>
      </c>
      <c r="F63" s="99">
        <f>F54-F61</f>
        <v>462860.30999999959</v>
      </c>
      <c r="G63" s="8"/>
    </row>
    <row r="64" spans="1:13">
      <c r="D64" s="247" t="s">
        <v>194</v>
      </c>
      <c r="E64" s="61"/>
      <c r="F64" s="219"/>
      <c r="G64" s="8"/>
    </row>
    <row r="65" spans="1:7">
      <c r="D65" s="8" t="s">
        <v>9</v>
      </c>
      <c r="E65" s="79"/>
      <c r="F65" s="220"/>
      <c r="G65" s="8"/>
    </row>
    <row r="66" spans="1:7">
      <c r="D66" s="8" t="s">
        <v>195</v>
      </c>
      <c r="E66" s="79"/>
      <c r="F66" s="220"/>
      <c r="G66" s="124">
        <f>SUM(E73:F73)</f>
        <v>0</v>
      </c>
    </row>
    <row r="67" spans="1:7">
      <c r="D67" s="8" t="s">
        <v>188</v>
      </c>
      <c r="E67" s="79"/>
      <c r="F67" s="220"/>
      <c r="G67" s="8"/>
    </row>
    <row r="68" spans="1:7">
      <c r="D68" s="8"/>
      <c r="E68" s="275"/>
      <c r="F68" s="247"/>
    </row>
    <row r="69" spans="1:7">
      <c r="E69" s="275"/>
      <c r="F69" s="248"/>
    </row>
    <row r="70" spans="1:7">
      <c r="E70" s="276"/>
      <c r="F70" s="250"/>
    </row>
    <row r="71" spans="1:7">
      <c r="E71" s="276"/>
      <c r="F71" s="250"/>
    </row>
    <row r="72" spans="1:7">
      <c r="E72" s="276"/>
      <c r="F72" s="250"/>
    </row>
    <row r="73" spans="1:7">
      <c r="E73" s="127"/>
      <c r="F73" s="250"/>
    </row>
    <row r="74" spans="1:7">
      <c r="A74" s="268"/>
      <c r="E74" s="79"/>
    </row>
    <row r="75" spans="1:7">
      <c r="E75" s="79"/>
    </row>
    <row r="76" spans="1:7">
      <c r="E76" s="79"/>
    </row>
    <row r="77" spans="1:7">
      <c r="B77" s="235"/>
      <c r="E77" s="79"/>
    </row>
    <row r="78" spans="1:7">
      <c r="E78" s="79"/>
    </row>
    <row r="79" spans="1:7">
      <c r="E79" s="79"/>
    </row>
    <row r="80" spans="1:7">
      <c r="A80" s="269"/>
      <c r="C80" s="155"/>
      <c r="E80" s="277"/>
    </row>
    <row r="82" spans="1:5">
      <c r="A82" s="269"/>
      <c r="C82" s="155"/>
      <c r="E82" s="155"/>
    </row>
    <row r="84" spans="1:5">
      <c r="A84" s="269"/>
      <c r="C84" s="155"/>
      <c r="E84" s="155"/>
    </row>
    <row r="86" spans="1:5">
      <c r="A86" s="269"/>
      <c r="C86" s="155"/>
      <c r="E86" s="155"/>
    </row>
    <row r="88" spans="1:5">
      <c r="A88" s="269"/>
      <c r="C88" s="155"/>
      <c r="E88" s="155"/>
    </row>
    <row r="90" spans="1:5">
      <c r="A90" s="269"/>
      <c r="C90" s="155"/>
      <c r="E90" s="155"/>
    </row>
    <row r="92" spans="1:5">
      <c r="A92" s="269"/>
      <c r="C92" s="155"/>
      <c r="E92" s="155"/>
    </row>
    <row r="94" spans="1:5">
      <c r="A94" s="269"/>
      <c r="C94" s="155"/>
      <c r="E94" s="155"/>
    </row>
    <row r="96" spans="1:5">
      <c r="A96" s="269"/>
      <c r="C96" s="155"/>
      <c r="E96" s="155"/>
    </row>
    <row r="98" spans="1:5">
      <c r="A98" s="269"/>
      <c r="C98" s="155"/>
      <c r="E98" s="155"/>
    </row>
    <row r="100" spans="1:5">
      <c r="A100" s="269"/>
      <c r="C100" s="155"/>
      <c r="E100" s="155"/>
    </row>
    <row r="102" spans="1:5">
      <c r="A102" s="269"/>
      <c r="C102" s="155"/>
      <c r="E102" s="155"/>
    </row>
    <row r="104" spans="1:5">
      <c r="A104" s="269"/>
      <c r="C104" s="155"/>
      <c r="E104" s="155"/>
    </row>
    <row r="106" spans="1:5">
      <c r="A106" s="269"/>
      <c r="C106" s="155"/>
      <c r="E106" s="155"/>
    </row>
    <row r="108" spans="1:5">
      <c r="A108" s="269"/>
      <c r="C108" s="155"/>
      <c r="E108" s="155"/>
    </row>
    <row r="110" spans="1:5">
      <c r="A110" s="269"/>
      <c r="C110" s="155"/>
      <c r="E110" s="155"/>
    </row>
    <row r="112" spans="1:5">
      <c r="A112" s="269"/>
      <c r="C112" s="155"/>
      <c r="E112" s="155"/>
    </row>
    <row r="114" spans="1:5">
      <c r="A114" s="269"/>
      <c r="C114" s="155"/>
      <c r="E114" s="155"/>
    </row>
    <row r="116" spans="1:5">
      <c r="A116" s="269"/>
      <c r="C116" s="155"/>
      <c r="E116" s="155"/>
    </row>
    <row r="118" spans="1:5">
      <c r="A118" s="269"/>
      <c r="C118" s="155"/>
      <c r="E118" s="155"/>
    </row>
    <row r="120" spans="1:5">
      <c r="A120" s="269"/>
      <c r="C120" s="155"/>
      <c r="E120" s="155"/>
    </row>
    <row r="122" spans="1:5">
      <c r="A122" s="269"/>
      <c r="C122" s="155"/>
      <c r="E122" s="155"/>
    </row>
    <row r="124" spans="1:5">
      <c r="A124" s="269"/>
      <c r="C124" s="155"/>
      <c r="E124" s="155"/>
    </row>
    <row r="126" spans="1:5">
      <c r="A126" s="269"/>
      <c r="C126" s="155"/>
      <c r="E126" s="155"/>
    </row>
    <row r="128" spans="1:5">
      <c r="A128" s="269"/>
      <c r="C128" s="155"/>
      <c r="E128" s="155"/>
    </row>
    <row r="130" spans="1:5">
      <c r="A130" s="269"/>
      <c r="C130" s="155"/>
      <c r="E130" s="155"/>
    </row>
    <row r="132" spans="1:5">
      <c r="A132" s="269"/>
      <c r="C132" s="155"/>
      <c r="E132" s="155"/>
    </row>
    <row r="134" spans="1:5">
      <c r="A134" s="269"/>
      <c r="C134" s="155"/>
      <c r="E134" s="155"/>
    </row>
    <row r="136" spans="1:5">
      <c r="A136" s="269"/>
      <c r="C136" s="155"/>
      <c r="E136" s="155"/>
    </row>
    <row r="138" spans="1:5">
      <c r="A138" s="269"/>
      <c r="C138" s="155"/>
      <c r="E138" s="155"/>
    </row>
    <row r="140" spans="1:5">
      <c r="A140" s="269"/>
      <c r="C140" s="155"/>
      <c r="E140" s="155"/>
    </row>
    <row r="142" spans="1:5">
      <c r="A142" s="269"/>
      <c r="C142" s="155"/>
      <c r="E142" s="155"/>
    </row>
    <row r="144" spans="1:5">
      <c r="A144" s="269"/>
      <c r="C144" s="155"/>
      <c r="E144" s="155"/>
    </row>
    <row r="146" spans="1:5">
      <c r="A146" s="269"/>
      <c r="C146" s="155"/>
      <c r="E146" s="155"/>
    </row>
    <row r="148" spans="1:5">
      <c r="A148" s="269"/>
      <c r="C148" s="155"/>
      <c r="E148" s="155"/>
    </row>
    <row r="150" spans="1:5">
      <c r="A150" s="269"/>
      <c r="C150" s="155"/>
      <c r="E150" s="155"/>
    </row>
    <row r="152" spans="1:5">
      <c r="A152" s="269"/>
      <c r="C152" s="155"/>
      <c r="E152" s="155"/>
    </row>
    <row r="154" spans="1:5">
      <c r="A154" s="269"/>
      <c r="C154" s="155"/>
      <c r="E154" s="155"/>
    </row>
    <row r="156" spans="1:5">
      <c r="A156" s="269"/>
      <c r="C156" s="155"/>
      <c r="E156" s="155"/>
    </row>
    <row r="158" spans="1:5">
      <c r="A158" s="269"/>
      <c r="C158" s="155"/>
      <c r="E158" s="155"/>
    </row>
    <row r="160" spans="1:5">
      <c r="A160" s="269"/>
      <c r="C160" s="155"/>
      <c r="E160" s="155"/>
    </row>
    <row r="162" spans="1:5">
      <c r="A162" s="269"/>
      <c r="C162" s="155"/>
      <c r="E162" s="155"/>
    </row>
    <row r="164" spans="1:5">
      <c r="A164" s="269"/>
      <c r="C164" s="155"/>
      <c r="E164" s="155"/>
    </row>
    <row r="166" spans="1:5">
      <c r="A166" s="269"/>
      <c r="C166" s="155"/>
      <c r="E166" s="155"/>
    </row>
    <row r="168" spans="1:5">
      <c r="A168" s="269"/>
      <c r="C168" s="155"/>
      <c r="E168" s="155"/>
    </row>
    <row r="170" spans="1:5">
      <c r="A170" s="269"/>
      <c r="C170" s="155"/>
      <c r="E170" s="155"/>
    </row>
    <row r="172" spans="1:5">
      <c r="A172" s="269"/>
      <c r="C172" s="155"/>
      <c r="E172" s="155"/>
    </row>
    <row r="174" spans="1:5">
      <c r="A174" s="269"/>
      <c r="C174" s="155"/>
      <c r="E174" s="155"/>
    </row>
    <row r="176" spans="1:5">
      <c r="A176" s="269"/>
      <c r="C176" s="155"/>
      <c r="E176" s="155"/>
    </row>
    <row r="178" spans="1:5">
      <c r="A178" s="269"/>
      <c r="C178" s="155"/>
      <c r="E178" s="155"/>
    </row>
    <row r="180" spans="1:5">
      <c r="A180" s="269"/>
      <c r="C180" s="155"/>
      <c r="E180" s="155"/>
    </row>
    <row r="182" spans="1:5">
      <c r="A182" s="269"/>
      <c r="C182" s="155"/>
      <c r="E182" s="155"/>
    </row>
    <row r="184" spans="1:5">
      <c r="A184" s="269"/>
      <c r="C184" s="155"/>
      <c r="E184" s="155"/>
    </row>
    <row r="186" spans="1:5">
      <c r="A186" s="269"/>
      <c r="C186" s="155"/>
      <c r="E186" s="155"/>
    </row>
    <row r="188" spans="1:5">
      <c r="A188" s="269"/>
      <c r="C188" s="155"/>
      <c r="E188" s="155"/>
    </row>
    <row r="190" spans="1:5">
      <c r="A190" s="269"/>
      <c r="C190" s="155"/>
      <c r="E190" s="155"/>
    </row>
    <row r="192" spans="1:5">
      <c r="A192" s="269"/>
      <c r="C192" s="155"/>
      <c r="E192" s="155"/>
    </row>
    <row r="194" spans="1:5">
      <c r="A194" s="269"/>
      <c r="C194" s="155"/>
      <c r="E194" s="155"/>
    </row>
    <row r="196" spans="1:5">
      <c r="A196" s="269"/>
      <c r="C196" s="155"/>
      <c r="E196" s="155"/>
    </row>
    <row r="198" spans="1:5">
      <c r="A198" s="269"/>
      <c r="C198" s="155"/>
      <c r="E198" s="155"/>
    </row>
    <row r="200" spans="1:5">
      <c r="A200" s="269"/>
      <c r="D200" s="155"/>
      <c r="E200" s="155"/>
    </row>
    <row r="202" spans="1:5">
      <c r="A202" s="269"/>
      <c r="C202" s="155"/>
      <c r="E202" s="155"/>
    </row>
    <row r="204" spans="1:5">
      <c r="A204" s="269"/>
      <c r="C204" s="155"/>
      <c r="E204" s="155"/>
    </row>
    <row r="206" spans="1:5">
      <c r="A206" s="269"/>
      <c r="C206" s="155"/>
      <c r="E206" s="155"/>
    </row>
    <row r="208" spans="1:5">
      <c r="A208" s="269"/>
      <c r="C208" s="155"/>
      <c r="E208" s="155"/>
    </row>
    <row r="210" spans="1:5">
      <c r="A210" s="269"/>
      <c r="C210" s="155"/>
      <c r="E210" s="155"/>
    </row>
  </sheetData>
  <mergeCells count="16"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BE145-AB7A-4C82-A2C5-B9BFB89E5B19}">
  <dimension ref="A6:R210"/>
  <sheetViews>
    <sheetView showGridLines="0" topLeftCell="A16" workbookViewId="0">
      <selection activeCell="A16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2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2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2" ht="15" thickBot="1">
      <c r="A14" s="1"/>
      <c r="B14" s="334" t="s">
        <v>3</v>
      </c>
      <c r="C14" s="335"/>
      <c r="D14" s="336"/>
      <c r="E14" s="17">
        <f>SUM(E15:E17)</f>
        <v>1674262.03</v>
      </c>
      <c r="F14" s="215"/>
      <c r="G14" s="331" t="s">
        <v>4</v>
      </c>
      <c r="H14" s="332"/>
      <c r="I14" s="332"/>
      <c r="J14" s="332"/>
      <c r="K14" s="333"/>
      <c r="L14" s="19"/>
    </row>
    <row r="15" spans="1:12">
      <c r="A15" s="1"/>
      <c r="B15" s="337" t="s">
        <v>5</v>
      </c>
      <c r="C15" s="338"/>
      <c r="D15" s="339"/>
      <c r="E15" s="20">
        <f>J16+J17+J18+J19</f>
        <v>1537071.12</v>
      </c>
      <c r="F15" s="215">
        <f>E15+E16+E17</f>
        <v>1674262.03</v>
      </c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47312.909999999996</v>
      </c>
      <c r="F16" s="215">
        <v>90000</v>
      </c>
      <c r="G16" s="22">
        <v>63867.16</v>
      </c>
      <c r="H16" s="23" t="s">
        <v>8</v>
      </c>
      <c r="I16" s="24"/>
      <c r="J16" s="25">
        <v>54073.53</v>
      </c>
      <c r="K16" s="26" t="s">
        <v>9</v>
      </c>
      <c r="L16" s="13"/>
    </row>
    <row r="17" spans="2:18">
      <c r="B17" s="352" t="s">
        <v>6</v>
      </c>
      <c r="C17" s="353"/>
      <c r="D17" s="354"/>
      <c r="E17" s="28">
        <f>G16+G17+G18</f>
        <v>89878</v>
      </c>
      <c r="F17" s="215">
        <f>F15-F16</f>
        <v>1584262.03</v>
      </c>
      <c r="G17" s="22">
        <v>13027.63</v>
      </c>
      <c r="H17" s="29" t="s">
        <v>10</v>
      </c>
      <c r="I17" s="30"/>
      <c r="J17" s="25">
        <v>200041.85</v>
      </c>
      <c r="K17" s="31" t="s">
        <v>10</v>
      </c>
    </row>
    <row r="18" spans="2:18">
      <c r="B18" s="236" t="s">
        <v>187</v>
      </c>
      <c r="C18" s="237"/>
      <c r="D18" s="238"/>
      <c r="E18" s="28">
        <f>+J22</f>
        <v>14541.8</v>
      </c>
      <c r="F18" s="215"/>
      <c r="G18" s="22">
        <v>12983.21</v>
      </c>
      <c r="H18" s="29" t="s">
        <v>12</v>
      </c>
      <c r="I18" s="30"/>
      <c r="J18" s="25">
        <f>1161331.02- 138230.11</f>
        <v>1023100.91</v>
      </c>
      <c r="K18" s="31" t="s">
        <v>12</v>
      </c>
    </row>
    <row r="19" spans="2:18">
      <c r="B19" s="379" t="s">
        <v>11</v>
      </c>
      <c r="C19" s="380"/>
      <c r="D19" s="381"/>
      <c r="E19" s="20">
        <f>G29+G31+G30+G28</f>
        <v>10930.290000000005</v>
      </c>
      <c r="F19" s="215"/>
      <c r="G19" s="33"/>
      <c r="H19" s="34"/>
      <c r="I19" s="30"/>
      <c r="J19" s="25">
        <v>259854.83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21265140.48</v>
      </c>
      <c r="F20" s="215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SUM(E22:E25)</f>
        <v>141872.49</v>
      </c>
      <c r="F21" s="215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334</v>
      </c>
      <c r="E22" s="190">
        <v>141872.49</v>
      </c>
      <c r="F22" s="215">
        <f>SUM(E26:E32)</f>
        <v>72556.899999999994</v>
      </c>
      <c r="G22" s="44">
        <v>11188.24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187"/>
      <c r="C23" s="188"/>
      <c r="D23" s="198"/>
      <c r="E23" s="190"/>
      <c r="F23" s="215"/>
      <c r="G23" s="44">
        <v>36124.67</v>
      </c>
      <c r="H23" s="29" t="s">
        <v>18</v>
      </c>
      <c r="I23" s="30"/>
      <c r="J23" s="25"/>
      <c r="K23" s="31"/>
    </row>
    <row r="24" spans="2:18" ht="15" thickBot="1">
      <c r="B24" s="187"/>
      <c r="C24" s="188"/>
      <c r="D24" s="198"/>
      <c r="E24" s="190"/>
      <c r="F24" s="215"/>
      <c r="G24" s="51"/>
      <c r="H24" s="34"/>
      <c r="I24" s="30"/>
      <c r="J24" s="210"/>
      <c r="K24" s="53"/>
    </row>
    <row r="25" spans="2:18" ht="15" thickBot="1">
      <c r="B25" s="206"/>
      <c r="C25" s="205"/>
      <c r="D25" s="208"/>
      <c r="E25" s="190"/>
      <c r="F25" s="215">
        <f>+F17-F22</f>
        <v>1511705.1300000001</v>
      </c>
      <c r="G25" s="331" t="s">
        <v>21</v>
      </c>
      <c r="H25" s="332"/>
      <c r="I25" s="332"/>
      <c r="J25" s="332"/>
      <c r="K25" s="333"/>
      <c r="N25" s="269"/>
      <c r="Q25" s="155"/>
      <c r="R25" s="155"/>
    </row>
    <row r="26" spans="2:18">
      <c r="B26" s="46" t="s">
        <v>17</v>
      </c>
      <c r="C26" s="47"/>
      <c r="D26" s="48"/>
      <c r="E26" s="234">
        <v>70900.7</v>
      </c>
      <c r="F26" s="215"/>
      <c r="G26" s="54"/>
      <c r="H26" s="55"/>
      <c r="I26" s="56"/>
      <c r="J26" s="211"/>
      <c r="K26" s="58"/>
      <c r="N26" s="269"/>
      <c r="P26" s="155"/>
      <c r="R26" s="155"/>
    </row>
    <row r="27" spans="2:18">
      <c r="B27" s="202" t="s">
        <v>163</v>
      </c>
      <c r="C27" s="203"/>
      <c r="D27" s="204"/>
      <c r="E27" s="49">
        <v>0</v>
      </c>
      <c r="F27" s="215"/>
      <c r="G27" s="377" t="s">
        <v>5</v>
      </c>
      <c r="H27" s="378"/>
      <c r="I27" s="59"/>
      <c r="J27" s="60"/>
      <c r="K27" s="45"/>
    </row>
    <row r="28" spans="2:18">
      <c r="B28" s="199" t="s">
        <v>22</v>
      </c>
      <c r="C28" s="200"/>
      <c r="D28" s="201"/>
      <c r="E28" s="49">
        <v>1656.2</v>
      </c>
      <c r="F28" s="251"/>
      <c r="G28" s="22">
        <f>20020.54+3926.08-11500-8500</f>
        <v>3946.6200000000026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64</v>
      </c>
      <c r="C29" s="200"/>
      <c r="D29" s="201"/>
      <c r="E29" s="49">
        <v>0</v>
      </c>
      <c r="G29" s="22">
        <f>154962.83- 154326.09</f>
        <v>636.73999999999069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199" t="s">
        <v>24</v>
      </c>
      <c r="C30" s="200"/>
      <c r="D30" s="201"/>
      <c r="E30" s="49">
        <v>0</v>
      </c>
      <c r="G30" s="67">
        <v>1742.7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44" t="s">
        <v>25</v>
      </c>
      <c r="C31" s="345"/>
      <c r="D31" s="346"/>
      <c r="E31" s="49">
        <v>0</v>
      </c>
      <c r="G31" s="71">
        <f>258629.76-254025.53</f>
        <v>4604.2300000000105</v>
      </c>
      <c r="H31" s="72" t="s">
        <v>12</v>
      </c>
      <c r="I31" s="73"/>
      <c r="J31" s="74" t="s">
        <v>32</v>
      </c>
      <c r="K31" s="75" t="s">
        <v>33</v>
      </c>
    </row>
    <row r="32" spans="2:18" ht="15" thickBot="1">
      <c r="B32" s="363" t="s">
        <v>29</v>
      </c>
      <c r="C32" s="364"/>
      <c r="D32" s="365"/>
      <c r="E32" s="66">
        <v>0</v>
      </c>
      <c r="N32" s="269"/>
      <c r="P32" s="155"/>
      <c r="R32" s="155"/>
    </row>
    <row r="33" spans="1:18">
      <c r="E33" s="61"/>
    </row>
    <row r="34" spans="1:18">
      <c r="E34" s="61"/>
      <c r="H34" s="61"/>
      <c r="I34" s="61"/>
      <c r="J34" s="13"/>
      <c r="K34" s="61"/>
      <c r="L34" s="61"/>
      <c r="M34" s="61"/>
      <c r="N34" s="269"/>
      <c r="P34" s="155"/>
      <c r="R34" s="155"/>
    </row>
    <row r="35" spans="1:18">
      <c r="E35" s="79"/>
      <c r="H35" s="61"/>
      <c r="I35" s="61"/>
      <c r="J35" s="13"/>
      <c r="K35" s="61"/>
      <c r="L35" s="61"/>
      <c r="M35" s="61"/>
    </row>
    <row r="36" spans="1:18" s="61" customFormat="1" ht="15" customHeight="1">
      <c r="A36"/>
      <c r="B36"/>
      <c r="C36"/>
      <c r="D36"/>
      <c r="E36" s="79"/>
      <c r="F36" s="218"/>
      <c r="G36" s="8"/>
      <c r="H36" s="13"/>
      <c r="J36" s="13"/>
      <c r="K36" s="83"/>
      <c r="L36" s="88"/>
      <c r="N36" s="272"/>
      <c r="P36" s="273"/>
      <c r="R36" s="273"/>
    </row>
    <row r="37" spans="1:18" s="61" customFormat="1" ht="15" customHeight="1">
      <c r="E37" s="252" t="s">
        <v>335</v>
      </c>
      <c r="F37" s="253"/>
      <c r="G37" s="181"/>
      <c r="H37" s="161"/>
      <c r="I37" s="197"/>
      <c r="J37" s="13"/>
      <c r="K37" s="83"/>
      <c r="L37" s="161"/>
      <c r="M37" s="197"/>
    </row>
    <row r="38" spans="1:18" s="61" customFormat="1" ht="15" customHeight="1">
      <c r="E38" s="252"/>
      <c r="F38" s="253"/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1:18" s="61" customFormat="1" ht="15" customHeight="1">
      <c r="E39" s="79" t="s">
        <v>34</v>
      </c>
      <c r="F39" s="253">
        <f>F17</f>
        <v>1584262.03</v>
      </c>
      <c r="G39" s="86"/>
      <c r="I39" s="197"/>
      <c r="J39" s="13"/>
      <c r="K39" s="85"/>
      <c r="M39" s="197"/>
    </row>
    <row r="40" spans="1:18" s="61" customFormat="1" ht="15" customHeight="1">
      <c r="E40" s="79" t="s">
        <v>35</v>
      </c>
      <c r="F40" s="253">
        <f>+E19</f>
        <v>10930.290000000005</v>
      </c>
      <c r="G40" s="86"/>
      <c r="I40" s="214"/>
      <c r="J40" s="13"/>
      <c r="K40" s="87"/>
      <c r="M40" s="197"/>
      <c r="N40" s="272"/>
      <c r="P40" s="273"/>
      <c r="R40" s="273"/>
    </row>
    <row r="41" spans="1:18" s="61" customFormat="1" ht="15" customHeight="1">
      <c r="E41" s="79" t="s">
        <v>36</v>
      </c>
      <c r="F41" s="253">
        <v>0</v>
      </c>
      <c r="G41" s="9"/>
      <c r="I41" s="197"/>
      <c r="J41" s="13"/>
      <c r="M41" s="197"/>
    </row>
    <row r="42" spans="1:18" s="61" customFormat="1" ht="15" customHeight="1">
      <c r="E42" s="79" t="s">
        <v>37</v>
      </c>
      <c r="F42" s="253">
        <v>0</v>
      </c>
      <c r="G42" s="9"/>
      <c r="I42" s="197"/>
      <c r="J42" s="13"/>
      <c r="M42" s="197"/>
      <c r="N42" s="272"/>
      <c r="P42" s="273"/>
      <c r="R42" s="273"/>
    </row>
    <row r="43" spans="1:18" s="61" customFormat="1" ht="15" customHeight="1">
      <c r="E43" s="255" t="s">
        <v>38</v>
      </c>
      <c r="F43" s="256">
        <f>SUM(F39:F42)</f>
        <v>1595192.3200000001</v>
      </c>
      <c r="G43" s="9"/>
      <c r="H43" s="163"/>
      <c r="I43" s="229"/>
      <c r="J43" s="13"/>
      <c r="L43" s="163"/>
      <c r="M43" s="229"/>
    </row>
    <row r="44" spans="1:18" s="61" customFormat="1" ht="15" customHeight="1">
      <c r="E44" s="257"/>
      <c r="F44" s="258"/>
      <c r="G44" s="9"/>
      <c r="H44" s="165"/>
      <c r="I44" s="230"/>
      <c r="J44" s="13"/>
      <c r="L44" s="165"/>
      <c r="M44" s="230"/>
      <c r="N44" s="272"/>
      <c r="P44" s="273"/>
      <c r="R44" s="273"/>
    </row>
    <row r="45" spans="1:18" s="61" customFormat="1" ht="15" customHeight="1">
      <c r="E45" s="257" t="s">
        <v>152</v>
      </c>
      <c r="F45" s="258">
        <v>135000</v>
      </c>
      <c r="G45" s="9"/>
      <c r="H45" s="165"/>
      <c r="I45" s="230"/>
      <c r="J45" s="13"/>
    </row>
    <row r="46" spans="1:18" s="61" customFormat="1" ht="15" customHeight="1">
      <c r="E46" s="257" t="s">
        <v>180</v>
      </c>
      <c r="F46" s="258">
        <v>0</v>
      </c>
      <c r="G46" s="9"/>
      <c r="H46" s="91"/>
      <c r="I46" s="219"/>
      <c r="J46" s="13"/>
      <c r="N46" s="272"/>
      <c r="Q46" s="273"/>
      <c r="R46" s="273"/>
    </row>
    <row r="47" spans="1:18" s="61" customFormat="1">
      <c r="E47" s="257" t="s">
        <v>52</v>
      </c>
      <c r="F47" s="258">
        <v>0</v>
      </c>
      <c r="G47" s="8"/>
      <c r="H47" s="91"/>
      <c r="I47" s="219"/>
      <c r="J47" s="13"/>
    </row>
    <row r="48" spans="1:18" s="61" customFormat="1">
      <c r="E48" s="257" t="s">
        <v>64</v>
      </c>
      <c r="F48" s="258">
        <v>52000</v>
      </c>
      <c r="G48" s="8"/>
      <c r="H48" s="91"/>
      <c r="I48" s="219"/>
      <c r="J48" s="13"/>
      <c r="N48" s="272"/>
      <c r="Q48" s="273"/>
      <c r="R48" s="273"/>
    </row>
    <row r="49" spans="1:13" s="61" customFormat="1">
      <c r="E49" s="137" t="s">
        <v>24</v>
      </c>
      <c r="F49" s="218">
        <v>0</v>
      </c>
      <c r="G49" s="8"/>
      <c r="H49" s="91"/>
      <c r="I49" s="231"/>
      <c r="J49" s="13"/>
    </row>
    <row r="50" spans="1:13" s="61" customFormat="1">
      <c r="E50" s="137" t="s">
        <v>22</v>
      </c>
      <c r="F50" s="218">
        <v>50000</v>
      </c>
      <c r="G50" s="8"/>
      <c r="H50" s="96"/>
      <c r="I50" s="231"/>
      <c r="J50" s="262"/>
    </row>
    <row r="51" spans="1:13" s="61" customFormat="1">
      <c r="E51" s="137" t="s">
        <v>40</v>
      </c>
      <c r="F51" s="260">
        <f>290000-90000-100000</f>
        <v>100000</v>
      </c>
      <c r="G51" s="8"/>
      <c r="H51" s="83"/>
      <c r="I51" s="228"/>
      <c r="J51" s="13"/>
    </row>
    <row r="52" spans="1:13" s="61" customFormat="1">
      <c r="E52" s="137" t="s">
        <v>117</v>
      </c>
      <c r="F52" s="279">
        <v>0</v>
      </c>
      <c r="G52" s="82"/>
      <c r="H52" s="83"/>
      <c r="I52" s="233"/>
      <c r="J52" s="13"/>
      <c r="L52" s="91"/>
      <c r="M52" s="232"/>
    </row>
    <row r="53" spans="1:13" s="61" customFormat="1">
      <c r="E53" s="139" t="s">
        <v>41</v>
      </c>
      <c r="F53" s="259">
        <f>SUM(F45:F52)</f>
        <v>337000</v>
      </c>
      <c r="G53" s="82"/>
      <c r="H53" s="83"/>
      <c r="I53" s="233"/>
      <c r="J53" s="13"/>
      <c r="L53" s="91"/>
      <c r="M53" s="232"/>
    </row>
    <row r="54" spans="1:13" s="61" customFormat="1">
      <c r="E54" s="139" t="s">
        <v>42</v>
      </c>
      <c r="F54" s="259">
        <f>F43-F53</f>
        <v>1258192.32</v>
      </c>
      <c r="G54" s="82"/>
      <c r="H54" s="83"/>
      <c r="I54" s="233"/>
      <c r="J54" s="13"/>
      <c r="L54" s="96"/>
      <c r="M54" s="231"/>
    </row>
    <row r="55" spans="1:13" s="61" customFormat="1">
      <c r="E55" s="79"/>
      <c r="F55" s="147"/>
      <c r="G55" s="82"/>
      <c r="H55" s="96"/>
      <c r="I55" s="228"/>
      <c r="J55" s="13"/>
      <c r="L55" s="96"/>
      <c r="M55" s="233"/>
    </row>
    <row r="56" spans="1:13" s="61" customFormat="1">
      <c r="E56" s="129" t="s">
        <v>43</v>
      </c>
      <c r="F56" s="265">
        <f>43800+180000</f>
        <v>223800</v>
      </c>
      <c r="G56" s="82"/>
      <c r="H56" s="83"/>
      <c r="I56" s="233"/>
      <c r="J56" s="13"/>
    </row>
    <row r="57" spans="1:13" s="61" customFormat="1">
      <c r="E57" s="129" t="s">
        <v>44</v>
      </c>
      <c r="F57" s="265">
        <v>365000</v>
      </c>
      <c r="G57" s="82"/>
      <c r="H57" s="96"/>
      <c r="I57" s="219"/>
      <c r="J57" s="13"/>
      <c r="L57" s="83"/>
      <c r="M57" s="228"/>
    </row>
    <row r="58" spans="1:13">
      <c r="A58" s="61"/>
      <c r="B58" s="61"/>
      <c r="C58" s="61"/>
      <c r="D58" s="61"/>
      <c r="E58" s="129" t="s">
        <v>45</v>
      </c>
      <c r="F58" s="138">
        <v>0</v>
      </c>
      <c r="H58" s="61"/>
      <c r="I58" s="61"/>
      <c r="J58" s="13"/>
      <c r="K58" s="61"/>
      <c r="L58" s="61"/>
      <c r="M58" s="61"/>
    </row>
    <row r="59" spans="1:13">
      <c r="E59" s="129" t="s">
        <v>205</v>
      </c>
      <c r="F59" s="138">
        <v>0</v>
      </c>
      <c r="H59" s="61"/>
      <c r="I59" s="61"/>
      <c r="J59" s="13"/>
      <c r="K59" s="61"/>
      <c r="L59" s="61"/>
      <c r="M59" s="61"/>
    </row>
    <row r="60" spans="1:13">
      <c r="E60" s="129" t="s">
        <v>206</v>
      </c>
      <c r="F60" s="138">
        <v>0</v>
      </c>
    </row>
    <row r="61" spans="1:13">
      <c r="E61" s="139" t="s">
        <v>46</v>
      </c>
      <c r="F61" s="142">
        <f>SUM(F56:F60)</f>
        <v>588800</v>
      </c>
    </row>
    <row r="62" spans="1:13">
      <c r="E62" s="129"/>
      <c r="F62" s="265"/>
      <c r="G62" s="8"/>
    </row>
    <row r="63" spans="1:13">
      <c r="D63" s="247" t="s">
        <v>192</v>
      </c>
      <c r="E63" s="139" t="s">
        <v>47</v>
      </c>
      <c r="F63" s="142">
        <f>F54-F61</f>
        <v>669392.32000000007</v>
      </c>
      <c r="G63" s="8"/>
    </row>
    <row r="64" spans="1:13">
      <c r="D64" s="247" t="s">
        <v>194</v>
      </c>
      <c r="E64" s="79"/>
      <c r="G64" s="8"/>
    </row>
    <row r="65" spans="1:7">
      <c r="D65" s="8" t="s">
        <v>9</v>
      </c>
      <c r="E65" s="79"/>
      <c r="G65" s="8"/>
    </row>
    <row r="66" spans="1:7">
      <c r="D66" s="8" t="s">
        <v>195</v>
      </c>
      <c r="E66" s="79"/>
      <c r="F66" s="220"/>
      <c r="G66" s="124">
        <f>SUM(E73:F73)</f>
        <v>0</v>
      </c>
    </row>
    <row r="67" spans="1:7">
      <c r="D67" s="8" t="s">
        <v>188</v>
      </c>
      <c r="E67" s="79"/>
      <c r="F67" s="220"/>
      <c r="G67" s="8"/>
    </row>
    <row r="68" spans="1:7">
      <c r="D68" s="8"/>
      <c r="E68" s="275"/>
      <c r="F68" s="247"/>
    </row>
    <row r="69" spans="1:7">
      <c r="E69" s="275"/>
      <c r="F69" s="248"/>
    </row>
    <row r="70" spans="1:7">
      <c r="E70" s="276"/>
      <c r="F70" s="250"/>
    </row>
    <row r="71" spans="1:7">
      <c r="E71" s="276"/>
      <c r="F71" s="250"/>
    </row>
    <row r="72" spans="1:7">
      <c r="E72" s="276"/>
      <c r="F72" s="250"/>
    </row>
    <row r="73" spans="1:7">
      <c r="E73" s="127"/>
      <c r="F73" s="250"/>
    </row>
    <row r="74" spans="1:7">
      <c r="A74" s="268"/>
      <c r="E74" s="79"/>
    </row>
    <row r="75" spans="1:7">
      <c r="E75" s="79"/>
    </row>
    <row r="76" spans="1:7">
      <c r="E76" s="79"/>
    </row>
    <row r="77" spans="1:7">
      <c r="B77" s="235"/>
      <c r="E77" s="79"/>
    </row>
    <row r="78" spans="1:7">
      <c r="E78" s="79"/>
    </row>
    <row r="79" spans="1:7">
      <c r="E79" s="79"/>
    </row>
    <row r="80" spans="1:7">
      <c r="A80" s="269"/>
      <c r="C80" s="155"/>
      <c r="E80" s="277"/>
    </row>
    <row r="82" spans="1:5">
      <c r="A82" s="269"/>
      <c r="C82" s="155"/>
      <c r="E82" s="155"/>
    </row>
    <row r="84" spans="1:5">
      <c r="A84" s="269"/>
      <c r="C84" s="155"/>
      <c r="E84" s="155"/>
    </row>
    <row r="86" spans="1:5">
      <c r="A86" s="269"/>
      <c r="C86" s="155"/>
      <c r="E86" s="155"/>
    </row>
    <row r="88" spans="1:5">
      <c r="A88" s="269"/>
      <c r="C88" s="155"/>
      <c r="E88" s="155"/>
    </row>
    <row r="90" spans="1:5">
      <c r="A90" s="269"/>
      <c r="C90" s="155"/>
      <c r="E90" s="155"/>
    </row>
    <row r="92" spans="1:5">
      <c r="A92" s="269"/>
      <c r="C92" s="155"/>
      <c r="E92" s="155"/>
    </row>
    <row r="94" spans="1:5">
      <c r="A94" s="269"/>
      <c r="C94" s="155"/>
      <c r="E94" s="155"/>
    </row>
    <row r="96" spans="1:5">
      <c r="A96" s="269"/>
      <c r="C96" s="155"/>
      <c r="E96" s="155"/>
    </row>
    <row r="98" spans="1:5">
      <c r="A98" s="269"/>
      <c r="C98" s="155"/>
      <c r="E98" s="155"/>
    </row>
    <row r="100" spans="1:5">
      <c r="A100" s="269"/>
      <c r="C100" s="155"/>
      <c r="E100" s="155"/>
    </row>
    <row r="102" spans="1:5">
      <c r="A102" s="269"/>
      <c r="C102" s="155"/>
      <c r="E102" s="155"/>
    </row>
    <row r="104" spans="1:5">
      <c r="A104" s="269"/>
      <c r="C104" s="155"/>
      <c r="E104" s="155"/>
    </row>
    <row r="106" spans="1:5">
      <c r="A106" s="269"/>
      <c r="C106" s="155"/>
      <c r="E106" s="155"/>
    </row>
    <row r="108" spans="1:5">
      <c r="A108" s="269"/>
      <c r="C108" s="155"/>
      <c r="E108" s="155"/>
    </row>
    <row r="110" spans="1:5">
      <c r="A110" s="269"/>
      <c r="C110" s="155"/>
      <c r="E110" s="155"/>
    </row>
    <row r="112" spans="1:5">
      <c r="A112" s="269"/>
      <c r="C112" s="155"/>
      <c r="E112" s="155"/>
    </row>
    <row r="114" spans="1:5">
      <c r="A114" s="269"/>
      <c r="C114" s="155"/>
      <c r="E114" s="155"/>
    </row>
    <row r="116" spans="1:5">
      <c r="A116" s="269"/>
      <c r="C116" s="155"/>
      <c r="E116" s="155"/>
    </row>
    <row r="118" spans="1:5">
      <c r="A118" s="269"/>
      <c r="C118" s="155"/>
      <c r="E118" s="155"/>
    </row>
    <row r="120" spans="1:5">
      <c r="A120" s="269"/>
      <c r="C120" s="155"/>
      <c r="E120" s="155"/>
    </row>
    <row r="122" spans="1:5">
      <c r="A122" s="269"/>
      <c r="C122" s="155"/>
      <c r="E122" s="155"/>
    </row>
    <row r="124" spans="1:5">
      <c r="A124" s="269"/>
      <c r="C124" s="155"/>
      <c r="E124" s="155"/>
    </row>
    <row r="126" spans="1:5">
      <c r="A126" s="269"/>
      <c r="C126" s="155"/>
      <c r="E126" s="155"/>
    </row>
    <row r="128" spans="1:5">
      <c r="A128" s="269"/>
      <c r="C128" s="155"/>
      <c r="E128" s="155"/>
    </row>
    <row r="130" spans="1:5">
      <c r="A130" s="269"/>
      <c r="C130" s="155"/>
      <c r="E130" s="155"/>
    </row>
    <row r="132" spans="1:5">
      <c r="A132" s="269"/>
      <c r="C132" s="155"/>
      <c r="E132" s="155"/>
    </row>
    <row r="134" spans="1:5">
      <c r="A134" s="269"/>
      <c r="C134" s="155"/>
      <c r="E134" s="155"/>
    </row>
    <row r="136" spans="1:5">
      <c r="A136" s="269"/>
      <c r="C136" s="155"/>
      <c r="E136" s="155"/>
    </row>
    <row r="138" spans="1:5">
      <c r="A138" s="269"/>
      <c r="C138" s="155"/>
      <c r="E138" s="155"/>
    </row>
    <row r="140" spans="1:5">
      <c r="A140" s="269"/>
      <c r="C140" s="155"/>
      <c r="E140" s="155"/>
    </row>
    <row r="142" spans="1:5">
      <c r="A142" s="269"/>
      <c r="C142" s="155"/>
      <c r="E142" s="155"/>
    </row>
    <row r="144" spans="1:5">
      <c r="A144" s="269"/>
      <c r="C144" s="155"/>
      <c r="E144" s="155"/>
    </row>
    <row r="146" spans="1:5">
      <c r="A146" s="269"/>
      <c r="C146" s="155"/>
      <c r="E146" s="155"/>
    </row>
    <row r="148" spans="1:5">
      <c r="A148" s="269"/>
      <c r="C148" s="155"/>
      <c r="E148" s="155"/>
    </row>
    <row r="150" spans="1:5">
      <c r="A150" s="269"/>
      <c r="C150" s="155"/>
      <c r="E150" s="155"/>
    </row>
    <row r="152" spans="1:5">
      <c r="A152" s="269"/>
      <c r="C152" s="155"/>
      <c r="E152" s="155"/>
    </row>
    <row r="154" spans="1:5">
      <c r="A154" s="269"/>
      <c r="C154" s="155"/>
      <c r="E154" s="155"/>
    </row>
    <row r="156" spans="1:5">
      <c r="A156" s="269"/>
      <c r="C156" s="155"/>
      <c r="E156" s="155"/>
    </row>
    <row r="158" spans="1:5">
      <c r="A158" s="269"/>
      <c r="C158" s="155"/>
      <c r="E158" s="155"/>
    </row>
    <row r="160" spans="1:5">
      <c r="A160" s="269"/>
      <c r="C160" s="155"/>
      <c r="E160" s="155"/>
    </row>
    <row r="162" spans="1:5">
      <c r="A162" s="269"/>
      <c r="C162" s="155"/>
      <c r="E162" s="155"/>
    </row>
    <row r="164" spans="1:5">
      <c r="A164" s="269"/>
      <c r="C164" s="155"/>
      <c r="E164" s="155"/>
    </row>
    <row r="166" spans="1:5">
      <c r="A166" s="269"/>
      <c r="C166" s="155"/>
      <c r="E166" s="155"/>
    </row>
    <row r="168" spans="1:5">
      <c r="A168" s="269"/>
      <c r="C168" s="155"/>
      <c r="E168" s="155"/>
    </row>
    <row r="170" spans="1:5">
      <c r="A170" s="269"/>
      <c r="C170" s="155"/>
      <c r="E170" s="155"/>
    </row>
    <row r="172" spans="1:5">
      <c r="A172" s="269"/>
      <c r="C172" s="155"/>
      <c r="E172" s="155"/>
    </row>
    <row r="174" spans="1:5">
      <c r="A174" s="269"/>
      <c r="C174" s="155"/>
      <c r="E174" s="155"/>
    </row>
    <row r="176" spans="1:5">
      <c r="A176" s="269"/>
      <c r="C176" s="155"/>
      <c r="E176" s="155"/>
    </row>
    <row r="178" spans="1:5">
      <c r="A178" s="269"/>
      <c r="C178" s="155"/>
      <c r="E178" s="155"/>
    </row>
    <row r="180" spans="1:5">
      <c r="A180" s="269"/>
      <c r="C180" s="155"/>
      <c r="E180" s="155"/>
    </row>
    <row r="182" spans="1:5">
      <c r="A182" s="269"/>
      <c r="C182" s="155"/>
      <c r="E182" s="155"/>
    </row>
    <row r="184" spans="1:5">
      <c r="A184" s="269"/>
      <c r="C184" s="155"/>
      <c r="E184" s="155"/>
    </row>
    <row r="186" spans="1:5">
      <c r="A186" s="269"/>
      <c r="C186" s="155"/>
      <c r="E186" s="155"/>
    </row>
    <row r="188" spans="1:5">
      <c r="A188" s="269"/>
      <c r="C188" s="155"/>
      <c r="E188" s="155"/>
    </row>
    <row r="190" spans="1:5">
      <c r="A190" s="269"/>
      <c r="C190" s="155"/>
      <c r="E190" s="155"/>
    </row>
    <row r="192" spans="1:5">
      <c r="A192" s="269"/>
      <c r="C192" s="155"/>
      <c r="E192" s="155"/>
    </row>
    <row r="194" spans="1:5">
      <c r="A194" s="269"/>
      <c r="C194" s="155"/>
      <c r="E194" s="155"/>
    </row>
    <row r="196" spans="1:5">
      <c r="A196" s="269"/>
      <c r="C196" s="155"/>
      <c r="E196" s="155"/>
    </row>
    <row r="198" spans="1:5">
      <c r="A198" s="269"/>
      <c r="C198" s="155"/>
      <c r="E198" s="155"/>
    </row>
    <row r="200" spans="1:5">
      <c r="A200" s="269"/>
      <c r="D200" s="155"/>
      <c r="E200" s="155"/>
    </row>
    <row r="202" spans="1:5">
      <c r="A202" s="269"/>
      <c r="C202" s="155"/>
      <c r="E202" s="155"/>
    </row>
    <row r="204" spans="1:5">
      <c r="A204" s="269"/>
      <c r="C204" s="155"/>
      <c r="E204" s="155"/>
    </row>
    <row r="206" spans="1:5">
      <c r="A206" s="269"/>
      <c r="C206" s="155"/>
      <c r="E206" s="155"/>
    </row>
    <row r="208" spans="1:5">
      <c r="A208" s="269"/>
      <c r="C208" s="155"/>
      <c r="E208" s="155"/>
    </row>
    <row r="210" spans="1:5">
      <c r="A210" s="269"/>
      <c r="C210" s="155"/>
      <c r="E210" s="155"/>
    </row>
  </sheetData>
  <mergeCells count="16"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E4DA9-A015-4CDB-9B2A-26C0D7A250C9}">
  <dimension ref="A6:R210"/>
  <sheetViews>
    <sheetView showGridLines="0" workbookViewId="0">
      <selection activeCell="O10" sqref="O10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2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2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2" ht="15" thickBot="1">
      <c r="A14" s="1"/>
      <c r="B14" s="334" t="s">
        <v>3</v>
      </c>
      <c r="C14" s="335"/>
      <c r="D14" s="336"/>
      <c r="E14" s="17">
        <f>SUM(E15:E17)</f>
        <v>2038057.17</v>
      </c>
      <c r="F14" s="153"/>
      <c r="G14" s="331" t="s">
        <v>4</v>
      </c>
      <c r="H14" s="332"/>
      <c r="I14" s="332"/>
      <c r="J14" s="332"/>
      <c r="K14" s="333"/>
      <c r="L14" s="19"/>
    </row>
    <row r="15" spans="1:12">
      <c r="A15" s="1"/>
      <c r="B15" s="337" t="s">
        <v>5</v>
      </c>
      <c r="C15" s="338"/>
      <c r="D15" s="339"/>
      <c r="E15" s="20">
        <f>J16+J17+J18+J19</f>
        <v>1881982.1400000001</v>
      </c>
      <c r="F15" s="153">
        <f>E15+E16+E17</f>
        <v>2038057.17</v>
      </c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47312.909999999996</v>
      </c>
      <c r="F16" s="153">
        <v>90000</v>
      </c>
      <c r="G16" s="22">
        <v>57198.32</v>
      </c>
      <c r="H16" s="23" t="s">
        <v>8</v>
      </c>
      <c r="I16" s="24"/>
      <c r="J16" s="25">
        <v>54073.53</v>
      </c>
      <c r="K16" s="26" t="s">
        <v>9</v>
      </c>
      <c r="L16" s="13"/>
    </row>
    <row r="17" spans="2:18">
      <c r="B17" s="352" t="s">
        <v>6</v>
      </c>
      <c r="C17" s="353"/>
      <c r="D17" s="354"/>
      <c r="E17" s="28">
        <f>G16+G17+G18</f>
        <v>108762.12</v>
      </c>
      <c r="F17" s="153">
        <f>F15-F16</f>
        <v>1948057.17</v>
      </c>
      <c r="G17" s="22">
        <v>19708.43</v>
      </c>
      <c r="H17" s="29" t="s">
        <v>10</v>
      </c>
      <c r="I17" s="30"/>
      <c r="J17" s="25">
        <v>371271.1</v>
      </c>
      <c r="K17" s="31" t="s">
        <v>10</v>
      </c>
    </row>
    <row r="18" spans="2:18">
      <c r="B18" s="236" t="s">
        <v>187</v>
      </c>
      <c r="C18" s="237"/>
      <c r="D18" s="238"/>
      <c r="E18" s="28">
        <f>+J22</f>
        <v>14541.8</v>
      </c>
      <c r="F18" s="153"/>
      <c r="G18" s="22">
        <v>31855.37</v>
      </c>
      <c r="H18" s="29" t="s">
        <v>12</v>
      </c>
      <c r="I18" s="30"/>
      <c r="J18" s="25">
        <f>1067104.61</f>
        <v>1067104.6100000001</v>
      </c>
      <c r="K18" s="31" t="s">
        <v>12</v>
      </c>
    </row>
    <row r="19" spans="2:18">
      <c r="B19" s="379" t="s">
        <v>11</v>
      </c>
      <c r="C19" s="380"/>
      <c r="D19" s="381"/>
      <c r="E19" s="20">
        <f>G29+G31+G30+G28</f>
        <v>12977.50999999998</v>
      </c>
      <c r="F19" s="153"/>
      <c r="G19" s="33"/>
      <c r="H19" s="34"/>
      <c r="I19" s="30"/>
      <c r="J19" s="25">
        <v>389532.9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20653895.530000001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SUM(E22:E24)</f>
        <v>144286.14000000001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110</v>
      </c>
      <c r="E22" s="190">
        <v>50938.62</v>
      </c>
      <c r="F22" s="153">
        <f>SUM(E25:E31)</f>
        <v>41644.93</v>
      </c>
      <c r="G22" s="44">
        <v>11188.24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187"/>
      <c r="C23" s="188"/>
      <c r="D23" s="198" t="s">
        <v>110</v>
      </c>
      <c r="E23" s="190">
        <v>93347.520000000004</v>
      </c>
      <c r="F23" s="153"/>
      <c r="G23" s="44">
        <v>36124.67</v>
      </c>
      <c r="H23" s="29" t="s">
        <v>18</v>
      </c>
      <c r="I23" s="30"/>
      <c r="J23" s="25"/>
      <c r="K23" s="31"/>
    </row>
    <row r="24" spans="2:18" ht="15" thickBot="1">
      <c r="B24" s="206"/>
      <c r="C24" s="205"/>
      <c r="D24" s="208"/>
      <c r="E24" s="190"/>
      <c r="F24" s="153">
        <f>+F17-F22</f>
        <v>1906412.24</v>
      </c>
      <c r="G24" s="51"/>
      <c r="H24" s="34"/>
      <c r="I24" s="30"/>
      <c r="J24" s="210"/>
      <c r="K24" s="53"/>
    </row>
    <row r="25" spans="2:18" ht="15" thickBot="1">
      <c r="B25" s="46" t="s">
        <v>17</v>
      </c>
      <c r="C25" s="47"/>
      <c r="D25" s="48"/>
      <c r="E25" s="234">
        <v>39988.730000000003</v>
      </c>
      <c r="F25" s="153"/>
      <c r="G25" s="331" t="s">
        <v>21</v>
      </c>
      <c r="H25" s="332"/>
      <c r="I25" s="332"/>
      <c r="J25" s="332"/>
      <c r="K25" s="333"/>
      <c r="N25" s="269"/>
      <c r="Q25" s="155"/>
      <c r="R25" s="155"/>
    </row>
    <row r="26" spans="2:18">
      <c r="B26" s="202" t="s">
        <v>163</v>
      </c>
      <c r="C26" s="203"/>
      <c r="D26" s="204"/>
      <c r="E26" s="49">
        <v>0</v>
      </c>
      <c r="F26" s="153"/>
      <c r="G26" s="54"/>
      <c r="H26" s="55"/>
      <c r="I26" s="56"/>
      <c r="J26" s="211"/>
      <c r="K26" s="58"/>
      <c r="N26" s="269"/>
      <c r="P26" s="155"/>
      <c r="R26" s="155"/>
    </row>
    <row r="27" spans="2:18">
      <c r="B27" s="199" t="s">
        <v>22</v>
      </c>
      <c r="C27" s="200"/>
      <c r="D27" s="201"/>
      <c r="E27" s="49">
        <v>1656.2</v>
      </c>
      <c r="F27" s="221"/>
      <c r="G27" s="377" t="s">
        <v>5</v>
      </c>
      <c r="H27" s="378"/>
      <c r="I27" s="59"/>
      <c r="J27" s="60"/>
      <c r="K27" s="45"/>
    </row>
    <row r="28" spans="2:18">
      <c r="B28" s="199" t="s">
        <v>64</v>
      </c>
      <c r="C28" s="200"/>
      <c r="D28" s="201"/>
      <c r="E28" s="49">
        <v>0</v>
      </c>
      <c r="F28" s="220"/>
      <c r="G28" s="22">
        <f>23955.35-11500-8500</f>
        <v>3955.3499999999985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24</v>
      </c>
      <c r="C29" s="200"/>
      <c r="D29" s="201"/>
      <c r="E29" s="49">
        <v>0</v>
      </c>
      <c r="F29" s="220"/>
      <c r="G29" s="22">
        <f>155027.7- 154326.09</f>
        <v>701.61000000001513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344" t="s">
        <v>25</v>
      </c>
      <c r="C30" s="345"/>
      <c r="D30" s="346"/>
      <c r="E30" s="49">
        <v>0</v>
      </c>
      <c r="F30" s="220"/>
      <c r="G30" s="67">
        <v>1743.71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63" t="s">
        <v>29</v>
      </c>
      <c r="C31" s="364"/>
      <c r="D31" s="365"/>
      <c r="E31" s="66">
        <v>0</v>
      </c>
      <c r="F31" s="220"/>
      <c r="G31" s="71">
        <f>398832.48-392255.64</f>
        <v>6576.8399999999674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61"/>
      <c r="F32" s="220"/>
      <c r="N32" s="269"/>
      <c r="P32" s="155"/>
      <c r="R32" s="155"/>
    </row>
    <row r="33" spans="5:18">
      <c r="E33" s="61"/>
      <c r="F33" s="219"/>
    </row>
    <row r="34" spans="5:18">
      <c r="E34" s="61"/>
      <c r="F34" s="219"/>
      <c r="H34" s="61"/>
      <c r="I34" s="61"/>
      <c r="J34" s="13"/>
      <c r="K34" s="61"/>
      <c r="L34" s="61"/>
      <c r="M34" s="61"/>
      <c r="N34" s="269"/>
      <c r="P34" s="155"/>
      <c r="R34" s="155"/>
    </row>
    <row r="35" spans="5:18">
      <c r="E35" s="61"/>
      <c r="F35" s="219"/>
      <c r="H35" s="61"/>
      <c r="I35" s="61"/>
      <c r="J35" s="13"/>
      <c r="K35" s="61"/>
      <c r="L35" s="61"/>
      <c r="M35" s="61"/>
    </row>
    <row r="36" spans="5:18" s="61" customFormat="1" ht="15" customHeight="1">
      <c r="E36" s="161" t="s">
        <v>335</v>
      </c>
      <c r="F36" s="197"/>
      <c r="G36" s="8"/>
      <c r="H36" s="13"/>
      <c r="J36" s="13"/>
      <c r="K36" s="83"/>
      <c r="L36" s="88"/>
      <c r="N36" s="272"/>
      <c r="P36" s="273"/>
      <c r="R36" s="273"/>
    </row>
    <row r="37" spans="5:18" s="61" customFormat="1" ht="15" customHeight="1">
      <c r="E37" s="161"/>
      <c r="F37" s="197"/>
      <c r="G37" s="181"/>
      <c r="H37" s="161"/>
      <c r="I37" s="197"/>
      <c r="J37" s="13"/>
      <c r="K37" s="83"/>
      <c r="L37" s="161"/>
      <c r="M37" s="197"/>
    </row>
    <row r="38" spans="5:18" s="61" customFormat="1" ht="15" customHeight="1">
      <c r="E38" s="61" t="s">
        <v>34</v>
      </c>
      <c r="F38" s="197">
        <f>F17</f>
        <v>1948057.17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5:18" s="61" customFormat="1" ht="15" customHeight="1">
      <c r="E39" s="61" t="s">
        <v>35</v>
      </c>
      <c r="F39" s="197">
        <f>+E19</f>
        <v>12977.50999999998</v>
      </c>
      <c r="G39" s="86"/>
      <c r="I39" s="197"/>
      <c r="J39" s="13"/>
      <c r="K39" s="85"/>
      <c r="M39" s="197"/>
    </row>
    <row r="40" spans="5:18" s="61" customFormat="1" ht="15" customHeight="1">
      <c r="E40" s="61" t="s">
        <v>36</v>
      </c>
      <c r="F40" s="197">
        <v>0</v>
      </c>
      <c r="G40" s="86"/>
      <c r="I40" s="214"/>
      <c r="J40" s="13"/>
      <c r="K40" s="87"/>
      <c r="M40" s="197"/>
      <c r="N40" s="272"/>
      <c r="P40" s="273"/>
      <c r="R40" s="273"/>
    </row>
    <row r="41" spans="5:18" s="61" customFormat="1" ht="15" customHeight="1">
      <c r="E41" s="61" t="s">
        <v>37</v>
      </c>
      <c r="F41" s="197">
        <v>0</v>
      </c>
      <c r="G41" s="9"/>
      <c r="I41" s="197"/>
      <c r="J41" s="13"/>
      <c r="M41" s="197"/>
    </row>
    <row r="42" spans="5:18" s="61" customFormat="1" ht="15" customHeight="1">
      <c r="E42" s="163" t="s">
        <v>38</v>
      </c>
      <c r="F42" s="229">
        <f>SUM(F38:F41)</f>
        <v>1961034.68</v>
      </c>
      <c r="G42" s="9"/>
      <c r="I42" s="197"/>
      <c r="J42" s="13"/>
      <c r="M42" s="197"/>
      <c r="N42" s="272"/>
      <c r="P42" s="273"/>
      <c r="R42" s="273"/>
    </row>
    <row r="43" spans="5:18" s="61" customFormat="1" ht="15" customHeight="1">
      <c r="E43" s="165"/>
      <c r="F43" s="230"/>
      <c r="G43" s="9"/>
      <c r="H43" s="163"/>
      <c r="I43" s="229"/>
      <c r="J43" s="13"/>
      <c r="L43" s="163"/>
      <c r="M43" s="229"/>
    </row>
    <row r="44" spans="5:18" s="61" customFormat="1" ht="15" customHeight="1">
      <c r="E44" s="165" t="s">
        <v>152</v>
      </c>
      <c r="F44" s="230">
        <v>135000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5:18" s="61" customFormat="1" ht="15" customHeight="1">
      <c r="E45" s="165" t="s">
        <v>189</v>
      </c>
      <c r="F45" s="230">
        <v>1350000</v>
      </c>
      <c r="G45" s="9"/>
      <c r="H45" s="165"/>
      <c r="I45" s="230"/>
      <c r="J45" s="13"/>
    </row>
    <row r="46" spans="5:18" s="61" customFormat="1" ht="15" customHeight="1">
      <c r="E46" s="165" t="s">
        <v>78</v>
      </c>
      <c r="F46" s="230">
        <v>125000</v>
      </c>
      <c r="G46" s="9"/>
      <c r="H46" s="165"/>
      <c r="I46" s="230"/>
      <c r="J46" s="13"/>
    </row>
    <row r="47" spans="5:18" s="61" customFormat="1" ht="15" customHeight="1">
      <c r="E47" s="165" t="s">
        <v>81</v>
      </c>
      <c r="F47" s="230">
        <v>1750000</v>
      </c>
      <c r="G47" s="9"/>
      <c r="H47" s="91"/>
      <c r="I47" s="219"/>
      <c r="J47" s="13"/>
      <c r="N47" s="272"/>
      <c r="Q47" s="273"/>
      <c r="R47" s="273"/>
    </row>
    <row r="48" spans="5:18" s="61" customFormat="1">
      <c r="E48" s="165" t="s">
        <v>80</v>
      </c>
      <c r="F48" s="280">
        <v>1665928.42</v>
      </c>
      <c r="G48" s="8"/>
      <c r="H48" s="91"/>
      <c r="I48" s="219"/>
      <c r="J48" s="13"/>
    </row>
    <row r="49" spans="4:18" s="61" customFormat="1">
      <c r="E49" s="91" t="s">
        <v>24</v>
      </c>
      <c r="F49" s="219">
        <f>15000+65000+240000</f>
        <v>320000</v>
      </c>
      <c r="G49" s="8"/>
      <c r="H49" s="91"/>
      <c r="I49" s="219"/>
      <c r="J49" s="13"/>
      <c r="N49" s="272"/>
      <c r="Q49" s="273"/>
      <c r="R49" s="273"/>
    </row>
    <row r="50" spans="4:18" s="61" customFormat="1">
      <c r="E50" s="91" t="s">
        <v>22</v>
      </c>
      <c r="F50" s="219">
        <v>50000</v>
      </c>
      <c r="G50" s="8"/>
      <c r="H50" s="91"/>
      <c r="I50" s="231"/>
      <c r="J50" s="13"/>
    </row>
    <row r="51" spans="4:18" s="61" customFormat="1">
      <c r="E51" s="91" t="s">
        <v>40</v>
      </c>
      <c r="F51" s="232">
        <f>290000-90000-100000</f>
        <v>100000</v>
      </c>
      <c r="G51" s="8"/>
      <c r="H51" s="96"/>
      <c r="I51" s="231"/>
      <c r="J51" s="262"/>
    </row>
    <row r="52" spans="4:18" s="61" customFormat="1">
      <c r="E52" s="91" t="s">
        <v>69</v>
      </c>
      <c r="F52" s="278">
        <v>60000</v>
      </c>
      <c r="G52" s="8"/>
      <c r="H52" s="83"/>
      <c r="I52" s="228"/>
      <c r="J52" s="13"/>
    </row>
    <row r="53" spans="4:18" s="61" customFormat="1">
      <c r="E53" s="96" t="s">
        <v>41</v>
      </c>
      <c r="F53" s="231">
        <f>SUM(F44:F52)</f>
        <v>5555928.4199999999</v>
      </c>
      <c r="G53" s="82"/>
      <c r="H53" s="83"/>
      <c r="I53" s="233"/>
      <c r="J53" s="13"/>
      <c r="L53" s="91"/>
      <c r="M53" s="232"/>
    </row>
    <row r="54" spans="4:18" s="61" customFormat="1">
      <c r="E54" s="96" t="s">
        <v>42</v>
      </c>
      <c r="F54" s="231">
        <f>F42-F53</f>
        <v>-3594893.74</v>
      </c>
      <c r="G54" s="82"/>
      <c r="H54" s="83"/>
      <c r="I54" s="233"/>
      <c r="J54" s="13"/>
      <c r="L54" s="91"/>
      <c r="M54" s="232"/>
    </row>
    <row r="55" spans="4:18" s="61" customFormat="1">
      <c r="F55" s="39"/>
      <c r="G55" s="82"/>
      <c r="H55" s="83"/>
      <c r="I55" s="233"/>
      <c r="J55" s="13"/>
      <c r="L55" s="96"/>
      <c r="M55" s="231"/>
    </row>
    <row r="56" spans="4:18" s="61" customFormat="1">
      <c r="E56" s="83" t="s">
        <v>43</v>
      </c>
      <c r="F56" s="151">
        <f>43800+180000</f>
        <v>223800</v>
      </c>
      <c r="G56" s="82"/>
      <c r="H56" s="96"/>
      <c r="I56" s="228"/>
      <c r="J56" s="13"/>
      <c r="L56" s="96"/>
      <c r="M56" s="233"/>
    </row>
    <row r="57" spans="4:18" s="61" customFormat="1">
      <c r="E57" s="83" t="s">
        <v>44</v>
      </c>
      <c r="F57" s="151">
        <v>365000</v>
      </c>
      <c r="G57" s="82"/>
      <c r="H57" s="83"/>
      <c r="I57" s="233"/>
      <c r="J57" s="13"/>
    </row>
    <row r="58" spans="4:18" s="61" customFormat="1">
      <c r="E58" s="83" t="s">
        <v>45</v>
      </c>
      <c r="F58" s="95">
        <v>0</v>
      </c>
      <c r="G58" s="82"/>
      <c r="H58" s="96"/>
      <c r="I58" s="219"/>
      <c r="J58" s="13"/>
      <c r="L58" s="83"/>
      <c r="M58" s="228"/>
    </row>
    <row r="59" spans="4:18">
      <c r="E59" s="83" t="s">
        <v>205</v>
      </c>
      <c r="F59" s="95">
        <v>0</v>
      </c>
      <c r="H59" s="61"/>
      <c r="I59" s="61"/>
      <c r="J59" s="13"/>
      <c r="K59" s="61"/>
      <c r="L59" s="61"/>
      <c r="M59" s="61"/>
    </row>
    <row r="60" spans="4:18">
      <c r="E60" s="82" t="s">
        <v>206</v>
      </c>
      <c r="F60" s="117">
        <v>0</v>
      </c>
      <c r="H60" s="61"/>
      <c r="I60" s="61"/>
      <c r="J60" s="13"/>
      <c r="K60" s="61"/>
      <c r="L60" s="61"/>
      <c r="M60" s="61"/>
    </row>
    <row r="61" spans="4:18">
      <c r="E61" s="118" t="s">
        <v>46</v>
      </c>
      <c r="F61" s="120">
        <f>SUM(F56:F60)</f>
        <v>588800</v>
      </c>
    </row>
    <row r="62" spans="4:18">
      <c r="E62" s="82"/>
      <c r="F62" s="80"/>
    </row>
    <row r="63" spans="4:18">
      <c r="D63" s="247" t="s">
        <v>192</v>
      </c>
      <c r="E63" s="118" t="s">
        <v>47</v>
      </c>
      <c r="F63" s="120">
        <f>F54-F61</f>
        <v>-4183693.74</v>
      </c>
      <c r="G63" s="8"/>
    </row>
    <row r="64" spans="4:18">
      <c r="D64" s="247" t="s">
        <v>194</v>
      </c>
      <c r="E64" s="8"/>
      <c r="F64" s="220"/>
      <c r="G64" s="8"/>
    </row>
    <row r="65" spans="1:7">
      <c r="D65" s="8" t="s">
        <v>9</v>
      </c>
      <c r="E65" s="8"/>
      <c r="F65" s="220"/>
      <c r="G65" s="8"/>
    </row>
    <row r="66" spans="1:7">
      <c r="D66" s="8" t="s">
        <v>195</v>
      </c>
      <c r="E66" s="79"/>
      <c r="F66" s="220"/>
      <c r="G66" s="8"/>
    </row>
    <row r="67" spans="1:7">
      <c r="D67" s="8" t="s">
        <v>188</v>
      </c>
      <c r="E67" s="79"/>
      <c r="F67" s="220"/>
      <c r="G67" s="124">
        <f>SUM(E73:F73)</f>
        <v>0</v>
      </c>
    </row>
    <row r="68" spans="1:7">
      <c r="D68" s="8"/>
      <c r="E68" s="275"/>
      <c r="F68" s="247"/>
      <c r="G68" s="8"/>
    </row>
    <row r="69" spans="1:7">
      <c r="E69" s="275"/>
      <c r="F69" s="248"/>
    </row>
    <row r="70" spans="1:7">
      <c r="E70" s="276"/>
      <c r="F70" s="250"/>
    </row>
    <row r="71" spans="1:7">
      <c r="E71" s="276"/>
      <c r="F71" s="250"/>
    </row>
    <row r="72" spans="1:7">
      <c r="E72" s="276"/>
      <c r="F72" s="250"/>
    </row>
    <row r="73" spans="1:7">
      <c r="E73" s="127"/>
      <c r="F73" s="250"/>
    </row>
    <row r="74" spans="1:7">
      <c r="A74" s="268"/>
      <c r="E74" s="79"/>
    </row>
    <row r="75" spans="1:7">
      <c r="E75" s="79"/>
    </row>
    <row r="76" spans="1:7">
      <c r="E76" s="79"/>
    </row>
    <row r="77" spans="1:7">
      <c r="B77" s="235"/>
      <c r="E77" s="79"/>
    </row>
    <row r="78" spans="1:7">
      <c r="E78" s="79"/>
    </row>
    <row r="79" spans="1:7">
      <c r="E79" s="79"/>
    </row>
    <row r="80" spans="1:7">
      <c r="A80" s="269"/>
      <c r="C80" s="155"/>
      <c r="E80" s="277"/>
    </row>
    <row r="82" spans="1:5">
      <c r="A82" s="269"/>
      <c r="C82" s="155"/>
      <c r="E82" s="155"/>
    </row>
    <row r="84" spans="1:5">
      <c r="A84" s="269"/>
      <c r="C84" s="155"/>
      <c r="E84" s="155"/>
    </row>
    <row r="86" spans="1:5">
      <c r="A86" s="269"/>
      <c r="C86" s="155"/>
      <c r="E86" s="155"/>
    </row>
    <row r="88" spans="1:5">
      <c r="A88" s="269"/>
      <c r="C88" s="155"/>
      <c r="E88" s="155"/>
    </row>
    <row r="90" spans="1:5">
      <c r="A90" s="269"/>
      <c r="C90" s="155"/>
      <c r="E90" s="155"/>
    </row>
    <row r="92" spans="1:5">
      <c r="A92" s="269"/>
      <c r="C92" s="155"/>
      <c r="E92" s="155"/>
    </row>
    <row r="94" spans="1:5">
      <c r="A94" s="269"/>
      <c r="C94" s="155"/>
      <c r="E94" s="155"/>
    </row>
    <row r="96" spans="1:5">
      <c r="A96" s="269"/>
      <c r="C96" s="155"/>
      <c r="E96" s="155"/>
    </row>
    <row r="98" spans="1:5">
      <c r="A98" s="269"/>
      <c r="C98" s="155"/>
      <c r="E98" s="155"/>
    </row>
    <row r="100" spans="1:5">
      <c r="A100" s="269"/>
      <c r="C100" s="155"/>
      <c r="E100" s="155"/>
    </row>
    <row r="102" spans="1:5">
      <c r="A102" s="269"/>
      <c r="C102" s="155"/>
      <c r="E102" s="155"/>
    </row>
    <row r="104" spans="1:5">
      <c r="A104" s="269"/>
      <c r="C104" s="155"/>
      <c r="E104" s="155"/>
    </row>
    <row r="106" spans="1:5">
      <c r="A106" s="269"/>
      <c r="C106" s="155"/>
      <c r="E106" s="155"/>
    </row>
    <row r="108" spans="1:5">
      <c r="A108" s="269"/>
      <c r="C108" s="155"/>
      <c r="E108" s="155"/>
    </row>
    <row r="110" spans="1:5">
      <c r="A110" s="269"/>
      <c r="C110" s="155"/>
      <c r="E110" s="155"/>
    </row>
    <row r="112" spans="1:5">
      <c r="A112" s="269"/>
      <c r="C112" s="155"/>
      <c r="E112" s="155"/>
    </row>
    <row r="114" spans="1:5">
      <c r="A114" s="269"/>
      <c r="C114" s="155"/>
      <c r="E114" s="155"/>
    </row>
    <row r="116" spans="1:5">
      <c r="A116" s="269"/>
      <c r="C116" s="155"/>
      <c r="E116" s="155"/>
    </row>
    <row r="118" spans="1:5">
      <c r="A118" s="269"/>
      <c r="C118" s="155"/>
      <c r="E118" s="155"/>
    </row>
    <row r="120" spans="1:5">
      <c r="A120" s="269"/>
      <c r="C120" s="155"/>
      <c r="E120" s="155"/>
    </row>
    <row r="122" spans="1:5">
      <c r="A122" s="269"/>
      <c r="C122" s="155"/>
      <c r="E122" s="155"/>
    </row>
    <row r="124" spans="1:5">
      <c r="A124" s="269"/>
      <c r="C124" s="155"/>
      <c r="E124" s="155"/>
    </row>
    <row r="126" spans="1:5">
      <c r="A126" s="269"/>
      <c r="C126" s="155"/>
      <c r="E126" s="155"/>
    </row>
    <row r="128" spans="1:5">
      <c r="A128" s="269"/>
      <c r="C128" s="155"/>
      <c r="E128" s="155"/>
    </row>
    <row r="130" spans="1:5">
      <c r="A130" s="269"/>
      <c r="C130" s="155"/>
      <c r="E130" s="155"/>
    </row>
    <row r="132" spans="1:5">
      <c r="A132" s="269"/>
      <c r="C132" s="155"/>
      <c r="E132" s="155"/>
    </row>
    <row r="134" spans="1:5">
      <c r="A134" s="269"/>
      <c r="C134" s="155"/>
      <c r="E134" s="155"/>
    </row>
    <row r="136" spans="1:5">
      <c r="A136" s="269"/>
      <c r="C136" s="155"/>
      <c r="E136" s="155"/>
    </row>
    <row r="138" spans="1:5">
      <c r="A138" s="269"/>
      <c r="C138" s="155"/>
      <c r="E138" s="155"/>
    </row>
    <row r="140" spans="1:5">
      <c r="A140" s="269"/>
      <c r="C140" s="155"/>
      <c r="E140" s="155"/>
    </row>
    <row r="142" spans="1:5">
      <c r="A142" s="269"/>
      <c r="C142" s="155"/>
      <c r="E142" s="155"/>
    </row>
    <row r="144" spans="1:5">
      <c r="A144" s="269"/>
      <c r="C144" s="155"/>
      <c r="E144" s="155"/>
    </row>
    <row r="146" spans="1:5">
      <c r="A146" s="269"/>
      <c r="C146" s="155"/>
      <c r="E146" s="155"/>
    </row>
    <row r="148" spans="1:5">
      <c r="A148" s="269"/>
      <c r="C148" s="155"/>
      <c r="E148" s="155"/>
    </row>
    <row r="150" spans="1:5">
      <c r="A150" s="269"/>
      <c r="C150" s="155"/>
      <c r="E150" s="155"/>
    </row>
    <row r="152" spans="1:5">
      <c r="A152" s="269"/>
      <c r="C152" s="155"/>
      <c r="E152" s="155"/>
    </row>
    <row r="154" spans="1:5">
      <c r="A154" s="269"/>
      <c r="C154" s="155"/>
      <c r="E154" s="155"/>
    </row>
    <row r="156" spans="1:5">
      <c r="A156" s="269"/>
      <c r="C156" s="155"/>
      <c r="E156" s="155"/>
    </row>
    <row r="158" spans="1:5">
      <c r="A158" s="269"/>
      <c r="C158" s="155"/>
      <c r="E158" s="155"/>
    </row>
    <row r="160" spans="1:5">
      <c r="A160" s="269"/>
      <c r="C160" s="155"/>
      <c r="E160" s="155"/>
    </row>
    <row r="162" spans="1:5">
      <c r="A162" s="269"/>
      <c r="C162" s="155"/>
      <c r="E162" s="155"/>
    </row>
    <row r="164" spans="1:5">
      <c r="A164" s="269"/>
      <c r="C164" s="155"/>
      <c r="E164" s="155"/>
    </row>
    <row r="166" spans="1:5">
      <c r="A166" s="269"/>
      <c r="C166" s="155"/>
      <c r="E166" s="155"/>
    </row>
    <row r="168" spans="1:5">
      <c r="A168" s="269"/>
      <c r="C168" s="155"/>
      <c r="E168" s="155"/>
    </row>
    <row r="170" spans="1:5">
      <c r="A170" s="269"/>
      <c r="C170" s="155"/>
      <c r="E170" s="155"/>
    </row>
    <row r="172" spans="1:5">
      <c r="A172" s="269"/>
      <c r="C172" s="155"/>
      <c r="E172" s="155"/>
    </row>
    <row r="174" spans="1:5">
      <c r="A174" s="269"/>
      <c r="C174" s="155"/>
      <c r="E174" s="155"/>
    </row>
    <row r="176" spans="1:5">
      <c r="A176" s="269"/>
      <c r="C176" s="155"/>
      <c r="E176" s="155"/>
    </row>
    <row r="178" spans="1:5">
      <c r="A178" s="269"/>
      <c r="C178" s="155"/>
      <c r="E178" s="155"/>
    </row>
    <row r="180" spans="1:5">
      <c r="A180" s="269"/>
      <c r="C180" s="155"/>
      <c r="E180" s="155"/>
    </row>
    <row r="182" spans="1:5">
      <c r="A182" s="269"/>
      <c r="C182" s="155"/>
      <c r="E182" s="155"/>
    </row>
    <row r="184" spans="1:5">
      <c r="A184" s="269"/>
      <c r="C184" s="155"/>
      <c r="E184" s="155"/>
    </row>
    <row r="186" spans="1:5">
      <c r="A186" s="269"/>
      <c r="C186" s="155"/>
      <c r="E186" s="155"/>
    </row>
    <row r="188" spans="1:5">
      <c r="A188" s="269"/>
      <c r="C188" s="155"/>
      <c r="E188" s="155"/>
    </row>
    <row r="190" spans="1:5">
      <c r="A190" s="269"/>
      <c r="C190" s="155"/>
      <c r="E190" s="155"/>
    </row>
    <row r="192" spans="1:5">
      <c r="A192" s="269"/>
      <c r="C192" s="155"/>
      <c r="E192" s="155"/>
    </row>
    <row r="194" spans="1:5">
      <c r="A194" s="269"/>
      <c r="C194" s="155"/>
      <c r="E194" s="155"/>
    </row>
    <row r="196" spans="1:5">
      <c r="A196" s="269"/>
      <c r="C196" s="155"/>
      <c r="E196" s="155"/>
    </row>
    <row r="198" spans="1:5">
      <c r="A198" s="269"/>
      <c r="C198" s="155"/>
      <c r="E198" s="155"/>
    </row>
    <row r="200" spans="1:5">
      <c r="A200" s="269"/>
      <c r="D200" s="155"/>
      <c r="E200" s="155"/>
    </row>
    <row r="202" spans="1:5">
      <c r="A202" s="269"/>
      <c r="C202" s="155"/>
      <c r="E202" s="155"/>
    </row>
    <row r="204" spans="1:5">
      <c r="A204" s="269"/>
      <c r="C204" s="155"/>
      <c r="E204" s="155"/>
    </row>
    <row r="206" spans="1:5">
      <c r="A206" s="269"/>
      <c r="C206" s="155"/>
      <c r="E206" s="155"/>
    </row>
    <row r="208" spans="1:5">
      <c r="A208" s="269"/>
      <c r="C208" s="155"/>
      <c r="E208" s="155"/>
    </row>
    <row r="210" spans="1:5">
      <c r="A210" s="269"/>
      <c r="C210" s="155"/>
      <c r="E210" s="155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9910E-A318-4A53-95F3-A0A627FF1231}">
  <dimension ref="A6:R211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2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2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2" ht="15" thickBot="1">
      <c r="A14" s="1"/>
      <c r="B14" s="334" t="s">
        <v>3</v>
      </c>
      <c r="C14" s="335"/>
      <c r="D14" s="336"/>
      <c r="E14" s="17">
        <f>SUM(E15:E17)</f>
        <v>1982276.7399999998</v>
      </c>
      <c r="F14" s="153"/>
      <c r="G14" s="331" t="s">
        <v>4</v>
      </c>
      <c r="H14" s="332"/>
      <c r="I14" s="332"/>
      <c r="J14" s="332"/>
      <c r="K14" s="333"/>
      <c r="L14" s="19"/>
    </row>
    <row r="15" spans="1:12">
      <c r="A15" s="1"/>
      <c r="B15" s="337" t="s">
        <v>5</v>
      </c>
      <c r="C15" s="338"/>
      <c r="D15" s="339"/>
      <c r="E15" s="20">
        <f>J16+J17+J18+J19</f>
        <v>1767089.5299999998</v>
      </c>
      <c r="F15" s="153">
        <f>E15+E16+E17</f>
        <v>1982276.7399999998</v>
      </c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G23+G24</f>
        <v>47312.909999999996</v>
      </c>
      <c r="F16" s="153">
        <v>90000</v>
      </c>
      <c r="G16" s="22">
        <v>57198.32</v>
      </c>
      <c r="H16" s="23" t="s">
        <v>8</v>
      </c>
      <c r="I16" s="24"/>
      <c r="J16" s="25">
        <v>75727.31</v>
      </c>
      <c r="K16" s="26" t="s">
        <v>9</v>
      </c>
      <c r="L16" s="13"/>
    </row>
    <row r="17" spans="2:18">
      <c r="B17" s="352" t="s">
        <v>6</v>
      </c>
      <c r="C17" s="353"/>
      <c r="D17" s="354"/>
      <c r="E17" s="28">
        <f>G16+G17+G18</f>
        <v>167874.3</v>
      </c>
      <c r="F17" s="153">
        <f>F15-F16</f>
        <v>1892276.7399999998</v>
      </c>
      <c r="G17" s="22">
        <v>11366.33</v>
      </c>
      <c r="H17" s="29" t="s">
        <v>10</v>
      </c>
      <c r="I17" s="30"/>
      <c r="J17" s="25">
        <v>306498.94</v>
      </c>
      <c r="K17" s="31" t="s">
        <v>10</v>
      </c>
    </row>
    <row r="18" spans="2:18">
      <c r="B18" s="236" t="s">
        <v>187</v>
      </c>
      <c r="C18" s="237"/>
      <c r="D18" s="238"/>
      <c r="E18" s="28">
        <f>+J23</f>
        <v>14541.8</v>
      </c>
      <c r="F18" s="153"/>
      <c r="G18" s="22">
        <v>99309.65</v>
      </c>
      <c r="H18" s="29" t="s">
        <v>12</v>
      </c>
      <c r="I18" s="30"/>
      <c r="J18" s="25">
        <v>1020854.61</v>
      </c>
      <c r="K18" s="31" t="s">
        <v>12</v>
      </c>
    </row>
    <row r="19" spans="2:18">
      <c r="B19" s="379" t="s">
        <v>11</v>
      </c>
      <c r="C19" s="380"/>
      <c r="D19" s="381"/>
      <c r="E19" s="20">
        <f>G30+G32+G31+G29</f>
        <v>12980.439999999981</v>
      </c>
      <c r="F19" s="153"/>
      <c r="G19" s="33"/>
      <c r="H19" s="34"/>
      <c r="I19" s="30"/>
      <c r="J19" s="25">
        <v>364008.67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f>20583276.08-E21</f>
        <v>20407536.889999997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SUM(E22:E25)</f>
        <v>175739.19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89" t="s">
        <v>93</v>
      </c>
      <c r="E22" s="190">
        <v>87780.4</v>
      </c>
      <c r="F22" s="153"/>
      <c r="G22" s="281"/>
      <c r="H22" s="282"/>
      <c r="I22" s="36"/>
      <c r="J22" s="283"/>
      <c r="K22" s="284"/>
    </row>
    <row r="23" spans="2:18">
      <c r="B23" s="187"/>
      <c r="C23" s="188"/>
      <c r="D23" s="198" t="s">
        <v>162</v>
      </c>
      <c r="E23" s="190">
        <v>21653.78</v>
      </c>
      <c r="F23" s="153">
        <f>SUM(E26:E32)</f>
        <v>150985.4</v>
      </c>
      <c r="G23" s="44">
        <v>11188.24</v>
      </c>
      <c r="H23" s="29" t="s">
        <v>10</v>
      </c>
      <c r="I23" s="30"/>
      <c r="J23" s="25">
        <v>14541.8</v>
      </c>
      <c r="K23" s="31" t="s">
        <v>188</v>
      </c>
      <c r="O23" s="235"/>
    </row>
    <row r="24" spans="2:18">
      <c r="B24" s="187"/>
      <c r="C24" s="188"/>
      <c r="D24" s="198" t="s">
        <v>162</v>
      </c>
      <c r="E24" s="190">
        <v>31077.18</v>
      </c>
      <c r="F24" s="153"/>
      <c r="G24" s="44">
        <v>36124.67</v>
      </c>
      <c r="H24" s="29" t="s">
        <v>18</v>
      </c>
      <c r="I24" s="30"/>
      <c r="J24" s="25"/>
      <c r="K24" s="31"/>
    </row>
    <row r="25" spans="2:18" ht="15" thickBot="1">
      <c r="B25" s="206"/>
      <c r="C25" s="205"/>
      <c r="D25" s="208" t="s">
        <v>162</v>
      </c>
      <c r="E25" s="190">
        <v>35227.83</v>
      </c>
      <c r="F25" s="153">
        <f>+F17-F23</f>
        <v>1741291.3399999999</v>
      </c>
      <c r="G25" s="51"/>
      <c r="H25" s="34"/>
      <c r="I25" s="30"/>
      <c r="J25" s="210"/>
      <c r="K25" s="53"/>
    </row>
    <row r="26" spans="2:18" ht="15" thickBot="1">
      <c r="B26" s="46" t="s">
        <v>17</v>
      </c>
      <c r="C26" s="47"/>
      <c r="D26" s="48"/>
      <c r="E26" s="234">
        <v>0</v>
      </c>
      <c r="F26" s="153"/>
      <c r="G26" s="331" t="s">
        <v>21</v>
      </c>
      <c r="H26" s="332"/>
      <c r="I26" s="332"/>
      <c r="J26" s="332"/>
      <c r="K26" s="333"/>
      <c r="N26" s="269"/>
      <c r="Q26" s="155"/>
      <c r="R26" s="155"/>
    </row>
    <row r="27" spans="2:18">
      <c r="B27" s="202" t="s">
        <v>163</v>
      </c>
      <c r="C27" s="203"/>
      <c r="D27" s="204"/>
      <c r="E27" s="49">
        <v>0</v>
      </c>
      <c r="F27" s="153"/>
      <c r="G27" s="54"/>
      <c r="H27" s="55"/>
      <c r="I27" s="56"/>
      <c r="J27" s="211"/>
      <c r="K27" s="58"/>
      <c r="N27" s="269"/>
      <c r="P27" s="155"/>
      <c r="R27" s="155"/>
    </row>
    <row r="28" spans="2:18">
      <c r="B28" s="199" t="s">
        <v>22</v>
      </c>
      <c r="C28" s="200"/>
      <c r="D28" s="201"/>
      <c r="E28" s="49">
        <v>70985.399999999994</v>
      </c>
      <c r="F28" s="221"/>
      <c r="G28" s="377" t="s">
        <v>5</v>
      </c>
      <c r="H28" s="378"/>
      <c r="I28" s="59"/>
      <c r="J28" s="60"/>
      <c r="K28" s="45"/>
    </row>
    <row r="29" spans="2:18">
      <c r="B29" s="199" t="s">
        <v>64</v>
      </c>
      <c r="C29" s="200"/>
      <c r="D29" s="201"/>
      <c r="E29" s="49">
        <v>0</v>
      </c>
      <c r="F29" s="220"/>
      <c r="G29" s="22">
        <f>23958.28-11500-8500</f>
        <v>3958.2799999999988</v>
      </c>
      <c r="H29" s="62" t="s">
        <v>9</v>
      </c>
      <c r="I29" s="59"/>
      <c r="J29" s="60"/>
      <c r="K29" s="45"/>
      <c r="N29" s="269"/>
      <c r="P29" s="155"/>
      <c r="R29" s="155"/>
    </row>
    <row r="30" spans="2:18">
      <c r="B30" s="199" t="s">
        <v>24</v>
      </c>
      <c r="C30" s="200"/>
      <c r="D30" s="201"/>
      <c r="E30" s="49">
        <v>80000</v>
      </c>
      <c r="F30" s="220"/>
      <c r="G30" s="22">
        <f>155027.7- 154326.09</f>
        <v>701.61000000001513</v>
      </c>
      <c r="H30" s="62" t="s">
        <v>26</v>
      </c>
      <c r="I30" s="63"/>
      <c r="J30" s="64" t="s">
        <v>27</v>
      </c>
      <c r="K30" s="65" t="s">
        <v>28</v>
      </c>
    </row>
    <row r="31" spans="2:18">
      <c r="B31" s="344" t="s">
        <v>25</v>
      </c>
      <c r="C31" s="345"/>
      <c r="D31" s="346"/>
      <c r="E31" s="49">
        <v>0</v>
      </c>
      <c r="F31" s="220"/>
      <c r="G31" s="67">
        <v>1743.71</v>
      </c>
      <c r="H31" s="68" t="s">
        <v>14</v>
      </c>
      <c r="I31" s="63"/>
      <c r="J31" s="64" t="s">
        <v>30</v>
      </c>
      <c r="K31" s="65" t="s">
        <v>31</v>
      </c>
      <c r="N31" s="269"/>
      <c r="P31" s="155"/>
      <c r="R31" s="155"/>
    </row>
    <row r="32" spans="2:18" ht="15" thickBot="1">
      <c r="B32" s="363" t="s">
        <v>29</v>
      </c>
      <c r="C32" s="364"/>
      <c r="D32" s="365"/>
      <c r="E32" s="66">
        <v>0</v>
      </c>
      <c r="F32" s="220"/>
      <c r="G32" s="71">
        <f>398832.48-392255.64</f>
        <v>6576.8399999999674</v>
      </c>
      <c r="H32" s="72" t="s">
        <v>12</v>
      </c>
      <c r="I32" s="73"/>
      <c r="J32" s="74" t="s">
        <v>32</v>
      </c>
      <c r="K32" s="75" t="s">
        <v>33</v>
      </c>
    </row>
    <row r="33" spans="5:18">
      <c r="E33" s="61"/>
      <c r="F33" s="220"/>
      <c r="N33" s="269"/>
      <c r="P33" s="155"/>
      <c r="R33" s="155"/>
    </row>
    <row r="34" spans="5:18">
      <c r="E34" s="61"/>
      <c r="F34" s="220"/>
    </row>
    <row r="35" spans="5:18">
      <c r="E35" s="61"/>
      <c r="F35" s="220"/>
      <c r="H35" s="61"/>
      <c r="I35" s="61"/>
      <c r="J35" s="13"/>
      <c r="K35" s="61"/>
      <c r="L35" s="61"/>
      <c r="M35" s="61"/>
      <c r="N35" s="269"/>
      <c r="P35" s="155"/>
      <c r="R35" s="155"/>
    </row>
    <row r="36" spans="5:18">
      <c r="E36" s="8"/>
      <c r="F36" s="220"/>
      <c r="H36" s="61"/>
      <c r="I36" s="61"/>
      <c r="J36" s="13"/>
      <c r="K36" s="61"/>
      <c r="L36" s="61"/>
      <c r="M36" s="61"/>
    </row>
    <row r="37" spans="5:18" s="61" customFormat="1" ht="15" customHeight="1">
      <c r="E37" s="181" t="s">
        <v>335</v>
      </c>
      <c r="F37" s="222"/>
      <c r="G37" s="8"/>
      <c r="H37" s="13"/>
      <c r="J37" s="13"/>
      <c r="K37" s="83"/>
      <c r="L37" s="88"/>
      <c r="N37" s="272"/>
      <c r="P37" s="273"/>
      <c r="R37" s="273"/>
    </row>
    <row r="38" spans="5:18" s="61" customFormat="1" ht="15" customHeight="1">
      <c r="E38" s="181"/>
      <c r="F38" s="222"/>
      <c r="G38" s="181"/>
      <c r="H38" s="161"/>
      <c r="I38" s="197"/>
      <c r="J38" s="13"/>
      <c r="K38" s="83"/>
      <c r="L38" s="161"/>
      <c r="M38" s="197"/>
    </row>
    <row r="39" spans="5:18" s="61" customFormat="1" ht="15" customHeight="1">
      <c r="E39" s="8" t="s">
        <v>34</v>
      </c>
      <c r="F39" s="222">
        <f>F17</f>
        <v>1892276.7399999998</v>
      </c>
      <c r="G39" s="86"/>
      <c r="H39" s="161"/>
      <c r="I39" s="197"/>
      <c r="J39" s="13"/>
      <c r="K39" s="83"/>
      <c r="L39" s="161"/>
      <c r="M39" s="197"/>
      <c r="N39" s="272"/>
      <c r="P39" s="273"/>
      <c r="R39" s="273"/>
    </row>
    <row r="40" spans="5:18" s="61" customFormat="1" ht="15" customHeight="1">
      <c r="E40" s="8" t="s">
        <v>35</v>
      </c>
      <c r="F40" s="222">
        <f>+E19</f>
        <v>12980.439999999981</v>
      </c>
      <c r="G40" s="86"/>
      <c r="I40" s="197"/>
      <c r="J40" s="13"/>
      <c r="K40" s="85"/>
      <c r="M40" s="197"/>
    </row>
    <row r="41" spans="5:18" s="61" customFormat="1" ht="15" customHeight="1">
      <c r="E41" s="8" t="s">
        <v>36</v>
      </c>
      <c r="F41" s="222">
        <v>0</v>
      </c>
      <c r="G41" s="86"/>
      <c r="I41" s="214"/>
      <c r="J41" s="13"/>
      <c r="K41" s="87"/>
      <c r="M41" s="197"/>
      <c r="N41" s="272"/>
      <c r="P41" s="273"/>
      <c r="R41" s="273"/>
    </row>
    <row r="42" spans="5:18" s="61" customFormat="1" ht="15" customHeight="1">
      <c r="E42" s="8" t="s">
        <v>37</v>
      </c>
      <c r="F42" s="222">
        <v>0</v>
      </c>
      <c r="G42" s="9"/>
      <c r="I42" s="197"/>
      <c r="J42" s="13"/>
      <c r="M42" s="197"/>
    </row>
    <row r="43" spans="5:18" s="61" customFormat="1" ht="15" customHeight="1">
      <c r="E43" s="182" t="s">
        <v>38</v>
      </c>
      <c r="F43" s="223">
        <f>SUM(F39:F42)</f>
        <v>1905257.1799999997</v>
      </c>
      <c r="G43" s="9"/>
      <c r="I43" s="197"/>
      <c r="J43" s="13"/>
      <c r="M43" s="197"/>
      <c r="N43" s="272"/>
      <c r="P43" s="273"/>
      <c r="R43" s="273"/>
    </row>
    <row r="44" spans="5:18" s="61" customFormat="1" ht="15" customHeight="1">
      <c r="E44" s="183"/>
      <c r="F44" s="224"/>
      <c r="G44" s="9"/>
      <c r="H44" s="163"/>
      <c r="I44" s="229"/>
      <c r="J44" s="13"/>
      <c r="L44" s="163"/>
      <c r="M44" s="229"/>
    </row>
    <row r="45" spans="5:18" s="61" customFormat="1" ht="15" customHeight="1">
      <c r="E45" s="183" t="s">
        <v>152</v>
      </c>
      <c r="F45" s="224">
        <v>135000</v>
      </c>
      <c r="G45" s="9"/>
      <c r="H45" s="165"/>
      <c r="I45" s="230"/>
      <c r="J45" s="13"/>
      <c r="L45" s="165"/>
      <c r="M45" s="230"/>
      <c r="N45" s="272"/>
      <c r="P45" s="273"/>
      <c r="R45" s="273"/>
    </row>
    <row r="46" spans="5:18" s="61" customFormat="1" ht="15" customHeight="1">
      <c r="E46" s="183" t="s">
        <v>189</v>
      </c>
      <c r="F46" s="224">
        <v>1350000</v>
      </c>
      <c r="G46" s="9"/>
      <c r="H46" s="165"/>
      <c r="I46" s="230"/>
      <c r="J46" s="13"/>
    </row>
    <row r="47" spans="5:18" s="61" customFormat="1" ht="15" customHeight="1">
      <c r="E47" s="183" t="s">
        <v>78</v>
      </c>
      <c r="F47" s="224">
        <v>125000</v>
      </c>
      <c r="G47" s="9"/>
      <c r="H47" s="165"/>
      <c r="I47" s="230"/>
      <c r="J47" s="13"/>
    </row>
    <row r="48" spans="5:18" s="61" customFormat="1" ht="15" customHeight="1">
      <c r="E48" s="183" t="s">
        <v>81</v>
      </c>
      <c r="F48" s="224">
        <v>1750000</v>
      </c>
      <c r="G48" s="9"/>
      <c r="H48" s="91"/>
      <c r="I48" s="219"/>
      <c r="J48" s="13"/>
      <c r="N48" s="272"/>
      <c r="Q48" s="273"/>
      <c r="R48" s="273"/>
    </row>
    <row r="49" spans="4:18" s="61" customFormat="1">
      <c r="E49" s="183" t="s">
        <v>80</v>
      </c>
      <c r="F49" s="285">
        <v>1665928.42</v>
      </c>
      <c r="G49" s="8"/>
      <c r="H49" s="91"/>
      <c r="I49" s="219"/>
      <c r="J49" s="13"/>
    </row>
    <row r="50" spans="4:18" s="61" customFormat="1">
      <c r="E50" s="116" t="s">
        <v>24</v>
      </c>
      <c r="F50" s="220">
        <f>15000+65000</f>
        <v>80000</v>
      </c>
      <c r="G50" s="8"/>
      <c r="H50" s="91"/>
      <c r="I50" s="219"/>
      <c r="J50" s="13"/>
      <c r="N50" s="272"/>
      <c r="Q50" s="273"/>
      <c r="R50" s="273"/>
    </row>
    <row r="51" spans="4:18" s="61" customFormat="1">
      <c r="E51" s="116" t="s">
        <v>22</v>
      </c>
      <c r="F51" s="220">
        <v>100000</v>
      </c>
      <c r="G51" s="8"/>
      <c r="H51" s="91"/>
      <c r="I51" s="231"/>
      <c r="J51" s="13"/>
    </row>
    <row r="52" spans="4:18" s="61" customFormat="1">
      <c r="E52" s="116" t="s">
        <v>40</v>
      </c>
      <c r="F52" s="226">
        <f>100000-40000</f>
        <v>60000</v>
      </c>
      <c r="G52" s="8"/>
      <c r="H52" s="96"/>
      <c r="I52" s="231"/>
      <c r="J52" s="262"/>
    </row>
    <row r="53" spans="4:18" s="61" customFormat="1">
      <c r="E53" s="116" t="s">
        <v>69</v>
      </c>
      <c r="F53" s="274">
        <v>60000</v>
      </c>
      <c r="G53" s="8"/>
      <c r="H53" s="83"/>
      <c r="I53" s="228"/>
      <c r="J53" s="13"/>
    </row>
    <row r="54" spans="4:18" s="61" customFormat="1">
      <c r="E54" s="118" t="s">
        <v>41</v>
      </c>
      <c r="F54" s="225">
        <f>SUM(F45:F53)</f>
        <v>5325928.42</v>
      </c>
      <c r="G54" s="82"/>
      <c r="H54" s="83"/>
      <c r="I54" s="233"/>
      <c r="J54" s="13"/>
      <c r="L54" s="91"/>
      <c r="M54" s="232"/>
    </row>
    <row r="55" spans="4:18" s="61" customFormat="1">
      <c r="E55" s="118" t="s">
        <v>42</v>
      </c>
      <c r="F55" s="225">
        <f>F43-F54</f>
        <v>-3420671.24</v>
      </c>
      <c r="G55" s="82"/>
      <c r="H55" s="83"/>
      <c r="I55" s="233"/>
      <c r="J55" s="13"/>
      <c r="L55" s="91"/>
      <c r="M55" s="232"/>
    </row>
    <row r="56" spans="4:18" s="61" customFormat="1">
      <c r="E56" s="8"/>
      <c r="F56" s="154"/>
      <c r="G56" s="82"/>
      <c r="H56" s="83"/>
      <c r="I56" s="233"/>
      <c r="J56" s="13"/>
      <c r="L56" s="96"/>
      <c r="M56" s="231"/>
    </row>
    <row r="57" spans="4:18" s="61" customFormat="1">
      <c r="E57" s="82" t="s">
        <v>43</v>
      </c>
      <c r="F57" s="80">
        <f>43800+180000</f>
        <v>223800</v>
      </c>
      <c r="G57" s="82"/>
      <c r="H57" s="96"/>
      <c r="I57" s="228"/>
      <c r="J57" s="13"/>
      <c r="L57" s="96"/>
      <c r="M57" s="233"/>
    </row>
    <row r="58" spans="4:18" s="61" customFormat="1">
      <c r="E58" s="82" t="s">
        <v>44</v>
      </c>
      <c r="F58" s="80">
        <v>365000</v>
      </c>
      <c r="G58" s="82"/>
      <c r="H58" s="83"/>
      <c r="I58" s="233"/>
      <c r="J58" s="13"/>
    </row>
    <row r="59" spans="4:18" s="61" customFormat="1">
      <c r="E59" s="82" t="s">
        <v>45</v>
      </c>
      <c r="F59" s="117">
        <v>0</v>
      </c>
      <c r="G59" s="82"/>
      <c r="H59" s="96"/>
      <c r="I59" s="219"/>
      <c r="J59" s="13"/>
      <c r="L59" s="83"/>
      <c r="M59" s="228"/>
    </row>
    <row r="60" spans="4:18">
      <c r="E60" s="82" t="s">
        <v>205</v>
      </c>
      <c r="F60" s="117">
        <v>0</v>
      </c>
      <c r="H60" s="61"/>
      <c r="I60" s="61"/>
      <c r="J60" s="13"/>
      <c r="K60" s="61"/>
      <c r="L60" s="61"/>
      <c r="M60" s="61"/>
    </row>
    <row r="61" spans="4:18">
      <c r="E61" s="82" t="s">
        <v>206</v>
      </c>
      <c r="F61" s="117">
        <v>0</v>
      </c>
      <c r="H61" s="61"/>
      <c r="I61" s="61"/>
      <c r="J61" s="13"/>
      <c r="K61" s="61"/>
      <c r="L61" s="61"/>
      <c r="M61" s="61"/>
    </row>
    <row r="62" spans="4:18">
      <c r="E62" s="118" t="s">
        <v>46</v>
      </c>
      <c r="F62" s="120">
        <f>SUM(F57:F61)</f>
        <v>588800</v>
      </c>
    </row>
    <row r="63" spans="4:18">
      <c r="E63" s="82"/>
      <c r="F63" s="80"/>
    </row>
    <row r="64" spans="4:18">
      <c r="D64" s="247" t="s">
        <v>192</v>
      </c>
      <c r="E64" s="118" t="s">
        <v>47</v>
      </c>
      <c r="F64" s="120">
        <f>F55-F62</f>
        <v>-4009471.24</v>
      </c>
      <c r="G64" s="8"/>
    </row>
    <row r="65" spans="1:7">
      <c r="D65" s="247" t="s">
        <v>194</v>
      </c>
      <c r="E65" s="8"/>
      <c r="F65" s="220"/>
      <c r="G65" s="8"/>
    </row>
    <row r="66" spans="1:7">
      <c r="D66" s="8" t="s">
        <v>9</v>
      </c>
      <c r="E66" s="8"/>
      <c r="F66" s="220"/>
      <c r="G66" s="8"/>
    </row>
    <row r="67" spans="1:7">
      <c r="D67" s="8" t="s">
        <v>195</v>
      </c>
      <c r="E67" s="8"/>
      <c r="F67" s="219"/>
      <c r="G67" s="8"/>
    </row>
    <row r="68" spans="1:7">
      <c r="D68" s="8" t="s">
        <v>188</v>
      </c>
      <c r="E68" s="8"/>
      <c r="F68" s="220"/>
      <c r="G68" s="124">
        <f>SUM(E74:F74)</f>
        <v>0</v>
      </c>
    </row>
    <row r="69" spans="1:7">
      <c r="D69" s="8"/>
      <c r="E69" s="247"/>
      <c r="F69" s="247"/>
      <c r="G69" s="8"/>
    </row>
    <row r="70" spans="1:7">
      <c r="E70" s="247"/>
      <c r="F70" s="248"/>
    </row>
    <row r="71" spans="1:7">
      <c r="E71" s="276"/>
      <c r="F71" s="250"/>
    </row>
    <row r="72" spans="1:7">
      <c r="E72" s="276"/>
      <c r="F72" s="250"/>
    </row>
    <row r="73" spans="1:7">
      <c r="E73" s="276"/>
      <c r="F73" s="250"/>
    </row>
    <row r="74" spans="1:7">
      <c r="E74" s="127"/>
      <c r="F74" s="250"/>
    </row>
    <row r="75" spans="1:7">
      <c r="A75" s="268"/>
      <c r="E75" s="79"/>
    </row>
    <row r="76" spans="1:7">
      <c r="E76" s="79"/>
    </row>
    <row r="77" spans="1:7">
      <c r="E77" s="79"/>
    </row>
    <row r="78" spans="1:7">
      <c r="B78" s="235"/>
      <c r="E78" s="79"/>
    </row>
    <row r="79" spans="1:7">
      <c r="E79" s="79"/>
    </row>
    <row r="80" spans="1:7">
      <c r="E80" s="79"/>
    </row>
    <row r="81" spans="1:5">
      <c r="A81" s="269"/>
      <c r="C81" s="155"/>
      <c r="E81" s="277"/>
    </row>
    <row r="83" spans="1:5">
      <c r="A83" s="269"/>
      <c r="C83" s="155"/>
      <c r="E83" s="155"/>
    </row>
    <row r="85" spans="1:5">
      <c r="A85" s="269"/>
      <c r="C85" s="155"/>
      <c r="E85" s="155"/>
    </row>
    <row r="87" spans="1:5">
      <c r="A87" s="269"/>
      <c r="C87" s="155"/>
      <c r="E87" s="155"/>
    </row>
    <row r="89" spans="1:5">
      <c r="A89" s="269"/>
      <c r="C89" s="155"/>
      <c r="E89" s="155"/>
    </row>
    <row r="91" spans="1:5">
      <c r="A91" s="269"/>
      <c r="C91" s="155"/>
      <c r="E91" s="155"/>
    </row>
    <row r="93" spans="1:5">
      <c r="A93" s="269"/>
      <c r="C93" s="155"/>
      <c r="E93" s="155"/>
    </row>
    <row r="95" spans="1:5">
      <c r="A95" s="269"/>
      <c r="C95" s="155"/>
      <c r="E95" s="155"/>
    </row>
    <row r="97" spans="1:5">
      <c r="A97" s="269"/>
      <c r="C97" s="155"/>
      <c r="E97" s="155"/>
    </row>
    <row r="99" spans="1:5">
      <c r="A99" s="269"/>
      <c r="C99" s="155"/>
      <c r="E99" s="155"/>
    </row>
    <row r="101" spans="1:5">
      <c r="A101" s="269"/>
      <c r="C101" s="155"/>
      <c r="E101" s="155"/>
    </row>
    <row r="103" spans="1:5">
      <c r="A103" s="269"/>
      <c r="C103" s="155"/>
      <c r="E103" s="155"/>
    </row>
    <row r="105" spans="1:5">
      <c r="A105" s="269"/>
      <c r="C105" s="155"/>
      <c r="E105" s="155"/>
    </row>
    <row r="107" spans="1:5">
      <c r="A107" s="269"/>
      <c r="C107" s="155"/>
      <c r="E107" s="155"/>
    </row>
    <row r="109" spans="1:5">
      <c r="A109" s="269"/>
      <c r="C109" s="155"/>
      <c r="E109" s="155"/>
    </row>
    <row r="111" spans="1:5">
      <c r="A111" s="269"/>
      <c r="C111" s="155"/>
      <c r="E111" s="155"/>
    </row>
    <row r="113" spans="1:5">
      <c r="A113" s="269"/>
      <c r="C113" s="155"/>
      <c r="E113" s="155"/>
    </row>
    <row r="115" spans="1:5">
      <c r="A115" s="269"/>
      <c r="C115" s="155"/>
      <c r="E115" s="155"/>
    </row>
    <row r="117" spans="1:5">
      <c r="A117" s="269"/>
      <c r="C117" s="155"/>
      <c r="E117" s="155"/>
    </row>
    <row r="119" spans="1:5">
      <c r="A119" s="269"/>
      <c r="C119" s="155"/>
      <c r="E119" s="155"/>
    </row>
    <row r="121" spans="1:5">
      <c r="A121" s="269"/>
      <c r="C121" s="155"/>
      <c r="E121" s="155"/>
    </row>
    <row r="123" spans="1:5">
      <c r="A123" s="269"/>
      <c r="C123" s="155"/>
      <c r="E123" s="155"/>
    </row>
    <row r="125" spans="1:5">
      <c r="A125" s="269"/>
      <c r="C125" s="155"/>
      <c r="E125" s="155"/>
    </row>
    <row r="127" spans="1:5">
      <c r="A127" s="269"/>
      <c r="C127" s="155"/>
      <c r="E127" s="155"/>
    </row>
    <row r="129" spans="1:5">
      <c r="A129" s="269"/>
      <c r="C129" s="155"/>
      <c r="E129" s="155"/>
    </row>
    <row r="131" spans="1:5">
      <c r="A131" s="269"/>
      <c r="C131" s="155"/>
      <c r="E131" s="155"/>
    </row>
    <row r="133" spans="1:5">
      <c r="A133" s="269"/>
      <c r="C133" s="155"/>
      <c r="E133" s="155"/>
    </row>
    <row r="135" spans="1:5">
      <c r="A135" s="269"/>
      <c r="C135" s="155"/>
      <c r="E135" s="155"/>
    </row>
    <row r="137" spans="1:5">
      <c r="A137" s="269"/>
      <c r="C137" s="155"/>
      <c r="E137" s="155"/>
    </row>
    <row r="139" spans="1:5">
      <c r="A139" s="269"/>
      <c r="C139" s="155"/>
      <c r="E139" s="155"/>
    </row>
    <row r="141" spans="1:5">
      <c r="A141" s="269"/>
      <c r="C141" s="155"/>
      <c r="E141" s="155"/>
    </row>
    <row r="143" spans="1:5">
      <c r="A143" s="269"/>
      <c r="C143" s="155"/>
      <c r="E143" s="155"/>
    </row>
    <row r="145" spans="1:5">
      <c r="A145" s="269"/>
      <c r="C145" s="155"/>
      <c r="E145" s="155"/>
    </row>
    <row r="147" spans="1:5">
      <c r="A147" s="269"/>
      <c r="C147" s="155"/>
      <c r="E147" s="155"/>
    </row>
    <row r="149" spans="1:5">
      <c r="A149" s="269"/>
      <c r="C149" s="155"/>
      <c r="E149" s="155"/>
    </row>
    <row r="151" spans="1:5">
      <c r="A151" s="269"/>
      <c r="C151" s="155"/>
      <c r="E151" s="155"/>
    </row>
    <row r="153" spans="1:5">
      <c r="A153" s="269"/>
      <c r="C153" s="155"/>
      <c r="E153" s="155"/>
    </row>
    <row r="155" spans="1:5">
      <c r="A155" s="269"/>
      <c r="C155" s="155"/>
      <c r="E155" s="155"/>
    </row>
    <row r="157" spans="1:5">
      <c r="A157" s="269"/>
      <c r="C157" s="155"/>
      <c r="E157" s="155"/>
    </row>
    <row r="159" spans="1:5">
      <c r="A159" s="269"/>
      <c r="C159" s="155"/>
      <c r="E159" s="155"/>
    </row>
    <row r="161" spans="1:5">
      <c r="A161" s="269"/>
      <c r="C161" s="155"/>
      <c r="E161" s="155"/>
    </row>
    <row r="163" spans="1:5">
      <c r="A163" s="269"/>
      <c r="C163" s="155"/>
      <c r="E163" s="155"/>
    </row>
    <row r="165" spans="1:5">
      <c r="A165" s="269"/>
      <c r="C165" s="155"/>
      <c r="E165" s="155"/>
    </row>
    <row r="167" spans="1:5">
      <c r="A167" s="269"/>
      <c r="C167" s="155"/>
      <c r="E167" s="155"/>
    </row>
    <row r="169" spans="1:5">
      <c r="A169" s="269"/>
      <c r="C169" s="155"/>
      <c r="E169" s="155"/>
    </row>
    <row r="171" spans="1:5">
      <c r="A171" s="269"/>
      <c r="C171" s="155"/>
      <c r="E171" s="155"/>
    </row>
    <row r="173" spans="1:5">
      <c r="A173" s="269"/>
      <c r="C173" s="155"/>
      <c r="E173" s="155"/>
    </row>
    <row r="175" spans="1:5">
      <c r="A175" s="269"/>
      <c r="C175" s="155"/>
      <c r="E175" s="155"/>
    </row>
    <row r="177" spans="1:5">
      <c r="A177" s="269"/>
      <c r="C177" s="155"/>
      <c r="E177" s="155"/>
    </row>
    <row r="179" spans="1:5">
      <c r="A179" s="269"/>
      <c r="C179" s="155"/>
      <c r="E179" s="155"/>
    </row>
    <row r="181" spans="1:5">
      <c r="A181" s="269"/>
      <c r="C181" s="155"/>
      <c r="E181" s="155"/>
    </row>
    <row r="183" spans="1:5">
      <c r="A183" s="269"/>
      <c r="C183" s="155"/>
      <c r="E183" s="155"/>
    </row>
    <row r="185" spans="1:5">
      <c r="A185" s="269"/>
      <c r="C185" s="155"/>
      <c r="E185" s="155"/>
    </row>
    <row r="187" spans="1:5">
      <c r="A187" s="269"/>
      <c r="C187" s="155"/>
      <c r="E187" s="155"/>
    </row>
    <row r="189" spans="1:5">
      <c r="A189" s="269"/>
      <c r="C189" s="155"/>
      <c r="E189" s="155"/>
    </row>
    <row r="191" spans="1:5">
      <c r="A191" s="269"/>
      <c r="C191" s="155"/>
      <c r="E191" s="155"/>
    </row>
    <row r="193" spans="1:5">
      <c r="A193" s="269"/>
      <c r="C193" s="155"/>
      <c r="E193" s="155"/>
    </row>
    <row r="195" spans="1:5">
      <c r="A195" s="269"/>
      <c r="C195" s="155"/>
      <c r="E195" s="155"/>
    </row>
    <row r="197" spans="1:5">
      <c r="A197" s="269"/>
      <c r="C197" s="155"/>
      <c r="E197" s="155"/>
    </row>
    <row r="199" spans="1:5">
      <c r="A199" s="269"/>
      <c r="C199" s="155"/>
      <c r="E199" s="155"/>
    </row>
    <row r="201" spans="1:5">
      <c r="A201" s="269"/>
      <c r="D201" s="155"/>
      <c r="E201" s="155"/>
    </row>
    <row r="203" spans="1:5">
      <c r="A203" s="269"/>
      <c r="C203" s="155"/>
      <c r="E203" s="155"/>
    </row>
    <row r="205" spans="1:5">
      <c r="A205" s="269"/>
      <c r="C205" s="155"/>
      <c r="E205" s="155"/>
    </row>
    <row r="207" spans="1:5">
      <c r="A207" s="269"/>
      <c r="C207" s="155"/>
      <c r="E207" s="155"/>
    </row>
    <row r="209" spans="1:5">
      <c r="A209" s="269"/>
      <c r="C209" s="155"/>
      <c r="E209" s="155"/>
    </row>
    <row r="211" spans="1:5">
      <c r="A211" s="269"/>
      <c r="C211" s="155"/>
      <c r="E211" s="155"/>
    </row>
  </sheetData>
  <mergeCells count="16">
    <mergeCell ref="G28:H28"/>
    <mergeCell ref="B31:D31"/>
    <mergeCell ref="B32:D32"/>
    <mergeCell ref="B16:D16"/>
    <mergeCell ref="B17:D17"/>
    <mergeCell ref="B19:D19"/>
    <mergeCell ref="B20:D20"/>
    <mergeCell ref="G21:H21"/>
    <mergeCell ref="G26:K26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1F4F8-A594-40DF-A7E0-C23EDA2951E7}">
  <dimension ref="A6:R210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2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2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  <c r="L13" s="13"/>
    </row>
    <row r="14" spans="1:12" ht="15" thickBot="1">
      <c r="A14" s="1"/>
      <c r="B14" s="334" t="s">
        <v>3</v>
      </c>
      <c r="C14" s="335"/>
      <c r="D14" s="336"/>
      <c r="E14" s="17">
        <f>SUM(E15:E17)</f>
        <v>624311.04000000004</v>
      </c>
      <c r="F14" s="150"/>
      <c r="G14" s="331" t="s">
        <v>4</v>
      </c>
      <c r="H14" s="332"/>
      <c r="I14" s="332"/>
      <c r="J14" s="332"/>
      <c r="K14" s="333"/>
      <c r="L14" s="19"/>
    </row>
    <row r="15" spans="1:12">
      <c r="A15" s="1"/>
      <c r="B15" s="337" t="s">
        <v>5</v>
      </c>
      <c r="C15" s="338"/>
      <c r="D15" s="339"/>
      <c r="E15" s="20">
        <f>J16+J17+J18+J19</f>
        <v>450380.41000000003</v>
      </c>
      <c r="F15" s="153">
        <f>E15+E16+E17</f>
        <v>624311.04000000004</v>
      </c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G23+G24</f>
        <v>85832.709999999992</v>
      </c>
      <c r="F16" s="153">
        <v>90000</v>
      </c>
      <c r="G16" s="22">
        <v>57198.32</v>
      </c>
      <c r="H16" s="23" t="s">
        <v>8</v>
      </c>
      <c r="I16" s="24"/>
      <c r="J16" s="25">
        <v>68597.11</v>
      </c>
      <c r="K16" s="26" t="s">
        <v>9</v>
      </c>
      <c r="L16" s="13"/>
    </row>
    <row r="17" spans="2:18">
      <c r="B17" s="352" t="s">
        <v>6</v>
      </c>
      <c r="C17" s="353"/>
      <c r="D17" s="354"/>
      <c r="E17" s="28">
        <f>G16+G17+G18</f>
        <v>88097.920000000013</v>
      </c>
      <c r="F17" s="153">
        <f>F15-F16</f>
        <v>534311.04</v>
      </c>
      <c r="G17" s="22">
        <v>14801.53</v>
      </c>
      <c r="H17" s="29" t="s">
        <v>10</v>
      </c>
      <c r="I17" s="30"/>
      <c r="J17" s="25">
        <v>75946.34</v>
      </c>
      <c r="K17" s="31" t="s">
        <v>10</v>
      </c>
    </row>
    <row r="18" spans="2:18">
      <c r="B18" s="236" t="s">
        <v>187</v>
      </c>
      <c r="C18" s="237"/>
      <c r="D18" s="238"/>
      <c r="E18" s="28">
        <f>+J23</f>
        <v>14541.8</v>
      </c>
      <c r="F18" s="153"/>
      <c r="G18" s="22">
        <v>16098.07</v>
      </c>
      <c r="H18" s="29" t="s">
        <v>12</v>
      </c>
      <c r="I18" s="30"/>
      <c r="J18" s="25">
        <v>27590.82</v>
      </c>
      <c r="K18" s="31" t="s">
        <v>12</v>
      </c>
    </row>
    <row r="19" spans="2:18">
      <c r="B19" s="379" t="s">
        <v>11</v>
      </c>
      <c r="C19" s="380"/>
      <c r="D19" s="381"/>
      <c r="E19" s="20">
        <f>G30+G32+G31+G29</f>
        <v>13240.70999999997</v>
      </c>
      <c r="F19" s="153"/>
      <c r="G19" s="33"/>
      <c r="H19" s="34"/>
      <c r="I19" s="30"/>
      <c r="J19" s="25">
        <v>278246.14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20420710.100000001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SUM(E22:E23)</f>
        <v>0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/>
      <c r="E22" s="190"/>
      <c r="F22" s="153">
        <f>SUM(E24:E30)</f>
        <v>170660.25</v>
      </c>
      <c r="G22" s="281"/>
      <c r="H22" s="282"/>
      <c r="I22" s="36"/>
      <c r="J22" s="283"/>
      <c r="K22" s="284"/>
    </row>
    <row r="23" spans="2:18">
      <c r="B23" s="206"/>
      <c r="C23" s="205"/>
      <c r="D23" s="208"/>
      <c r="E23" s="190"/>
      <c r="F23" s="153">
        <f>+F17-F22</f>
        <v>363650.79000000004</v>
      </c>
      <c r="G23" s="44">
        <v>49708.04</v>
      </c>
      <c r="H23" s="29" t="s">
        <v>10</v>
      </c>
      <c r="I23" s="30"/>
      <c r="J23" s="25">
        <v>14541.8</v>
      </c>
      <c r="K23" s="31" t="s">
        <v>188</v>
      </c>
      <c r="O23" s="235"/>
    </row>
    <row r="24" spans="2:18">
      <c r="B24" s="46" t="s">
        <v>17</v>
      </c>
      <c r="C24" s="47"/>
      <c r="D24" s="48"/>
      <c r="E24" s="234">
        <f>449+28626.86+1729.6</f>
        <v>30805.46</v>
      </c>
      <c r="F24" s="153"/>
      <c r="G24" s="44">
        <v>36124.67</v>
      </c>
      <c r="H24" s="29" t="s">
        <v>18</v>
      </c>
      <c r="I24" s="30"/>
      <c r="J24" s="25"/>
      <c r="K24" s="31"/>
    </row>
    <row r="25" spans="2:18" ht="15" thickBot="1">
      <c r="B25" s="202" t="s">
        <v>163</v>
      </c>
      <c r="C25" s="203"/>
      <c r="D25" s="204"/>
      <c r="E25" s="49">
        <f>21022.2+399.99+8000+16258.6+20440+3734+10000</f>
        <v>79854.790000000008</v>
      </c>
      <c r="F25" s="153"/>
      <c r="G25" s="51"/>
      <c r="H25" s="34"/>
      <c r="I25" s="30"/>
      <c r="J25" s="210"/>
      <c r="K25" s="53"/>
    </row>
    <row r="26" spans="2:18" ht="15" thickBot="1">
      <c r="B26" s="199" t="s">
        <v>22</v>
      </c>
      <c r="C26" s="200"/>
      <c r="D26" s="201"/>
      <c r="E26" s="49">
        <v>0</v>
      </c>
      <c r="F26" s="221"/>
      <c r="G26" s="331" t="s">
        <v>21</v>
      </c>
      <c r="H26" s="332"/>
      <c r="I26" s="332"/>
      <c r="J26" s="332"/>
      <c r="K26" s="333"/>
      <c r="N26" s="269"/>
      <c r="Q26" s="155"/>
      <c r="R26" s="155"/>
    </row>
    <row r="27" spans="2:18">
      <c r="B27" s="199" t="s">
        <v>64</v>
      </c>
      <c r="C27" s="200"/>
      <c r="D27" s="201"/>
      <c r="E27" s="49">
        <v>0</v>
      </c>
      <c r="F27" s="220"/>
      <c r="G27" s="54"/>
      <c r="H27" s="55"/>
      <c r="I27" s="56"/>
      <c r="J27" s="211"/>
      <c r="K27" s="58"/>
      <c r="N27" s="269"/>
      <c r="P27" s="155"/>
      <c r="R27" s="155"/>
    </row>
    <row r="28" spans="2:18">
      <c r="B28" s="199" t="s">
        <v>24</v>
      </c>
      <c r="C28" s="200"/>
      <c r="D28" s="201"/>
      <c r="E28" s="49">
        <v>0</v>
      </c>
      <c r="F28" s="220"/>
      <c r="G28" s="377" t="s">
        <v>5</v>
      </c>
      <c r="H28" s="378"/>
      <c r="I28" s="59"/>
      <c r="J28" s="60"/>
      <c r="K28" s="45"/>
    </row>
    <row r="29" spans="2:18">
      <c r="B29" s="344" t="s">
        <v>25</v>
      </c>
      <c r="C29" s="345"/>
      <c r="D29" s="346"/>
      <c r="E29" s="49">
        <v>60000</v>
      </c>
      <c r="F29" s="220"/>
      <c r="G29" s="22">
        <f>23961.22-11500-8500</f>
        <v>3961.2200000000012</v>
      </c>
      <c r="H29" s="62" t="s">
        <v>9</v>
      </c>
      <c r="I29" s="59"/>
      <c r="J29" s="60"/>
      <c r="K29" s="45"/>
      <c r="N29" s="269"/>
      <c r="P29" s="155"/>
      <c r="R29" s="155"/>
    </row>
    <row r="30" spans="2:18" ht="15" thickBot="1">
      <c r="B30" s="363" t="s">
        <v>29</v>
      </c>
      <c r="C30" s="364"/>
      <c r="D30" s="365"/>
      <c r="E30" s="66">
        <v>0</v>
      </c>
      <c r="F30" s="220"/>
      <c r="G30" s="22">
        <f>155070.96- 154326.09</f>
        <v>744.86999999999534</v>
      </c>
      <c r="H30" s="62" t="s">
        <v>26</v>
      </c>
      <c r="I30" s="63"/>
      <c r="J30" s="64" t="s">
        <v>27</v>
      </c>
      <c r="K30" s="65" t="s">
        <v>28</v>
      </c>
    </row>
    <row r="31" spans="2:18">
      <c r="E31" s="61"/>
      <c r="F31" s="220"/>
      <c r="G31" s="67">
        <v>1743.71</v>
      </c>
      <c r="H31" s="68" t="s">
        <v>14</v>
      </c>
      <c r="I31" s="63"/>
      <c r="J31" s="64" t="s">
        <v>30</v>
      </c>
      <c r="K31" s="65" t="s">
        <v>31</v>
      </c>
      <c r="N31" s="269"/>
      <c r="P31" s="155"/>
      <c r="R31" s="155"/>
    </row>
    <row r="32" spans="2:18" ht="15" thickBot="1">
      <c r="E32" s="61"/>
      <c r="F32" s="220"/>
      <c r="G32" s="71">
        <f>399046.55-392255.64</f>
        <v>6790.9099999999744</v>
      </c>
      <c r="H32" s="72" t="s">
        <v>12</v>
      </c>
      <c r="I32" s="73"/>
      <c r="J32" s="74" t="s">
        <v>32</v>
      </c>
      <c r="K32" s="75" t="s">
        <v>33</v>
      </c>
    </row>
    <row r="33" spans="1:18">
      <c r="E33" s="61"/>
      <c r="F33" s="220"/>
      <c r="N33" s="269"/>
      <c r="P33" s="155"/>
      <c r="R33" s="155"/>
    </row>
    <row r="34" spans="1:18">
      <c r="E34" s="61"/>
      <c r="F34" s="220"/>
    </row>
    <row r="35" spans="1:18">
      <c r="A35" s="61"/>
      <c r="B35" s="61"/>
      <c r="C35" s="61"/>
      <c r="D35" s="61"/>
      <c r="E35" s="181" t="s">
        <v>335</v>
      </c>
      <c r="F35" s="222"/>
      <c r="H35" s="61"/>
      <c r="I35" s="61"/>
      <c r="J35" s="13"/>
      <c r="K35" s="61"/>
      <c r="L35" s="61"/>
      <c r="M35" s="61"/>
      <c r="N35" s="269"/>
      <c r="P35" s="155"/>
      <c r="R35" s="155"/>
    </row>
    <row r="36" spans="1:18">
      <c r="A36" s="61"/>
      <c r="B36" s="61"/>
      <c r="C36" s="61"/>
      <c r="D36" s="61"/>
      <c r="E36" s="181"/>
      <c r="F36" s="222"/>
      <c r="H36" s="61"/>
      <c r="I36" s="61"/>
      <c r="J36" s="13"/>
      <c r="K36" s="61"/>
      <c r="L36" s="61"/>
      <c r="M36" s="61"/>
    </row>
    <row r="37" spans="1:18" s="61" customFormat="1" ht="15" customHeight="1">
      <c r="E37" s="8" t="s">
        <v>34</v>
      </c>
      <c r="F37" s="222">
        <f>F17</f>
        <v>534311.04</v>
      </c>
      <c r="G37" s="8"/>
      <c r="H37" s="13"/>
      <c r="J37" s="13"/>
      <c r="K37" s="83"/>
      <c r="L37" s="88"/>
      <c r="N37" s="272"/>
      <c r="P37" s="273"/>
      <c r="R37" s="273"/>
    </row>
    <row r="38" spans="1:18" s="61" customFormat="1" ht="15" customHeight="1">
      <c r="E38" s="8" t="s">
        <v>35</v>
      </c>
      <c r="F38" s="222">
        <f>+E19</f>
        <v>13240.70999999997</v>
      </c>
      <c r="G38" s="181"/>
      <c r="H38" s="161"/>
      <c r="I38" s="197"/>
      <c r="J38" s="13"/>
      <c r="K38" s="83"/>
      <c r="L38" s="161"/>
      <c r="M38" s="197"/>
    </row>
    <row r="39" spans="1:18" s="61" customFormat="1" ht="15" customHeight="1">
      <c r="E39" s="8" t="s">
        <v>36</v>
      </c>
      <c r="F39" s="222">
        <v>0</v>
      </c>
      <c r="G39" s="86"/>
      <c r="H39" s="161"/>
      <c r="I39" s="197"/>
      <c r="J39" s="13"/>
      <c r="K39" s="83"/>
      <c r="L39" s="161"/>
      <c r="M39" s="197"/>
      <c r="N39" s="272"/>
      <c r="P39" s="273"/>
      <c r="R39" s="273"/>
    </row>
    <row r="40" spans="1:18" s="61" customFormat="1" ht="15" customHeight="1">
      <c r="E40" s="8" t="s">
        <v>37</v>
      </c>
      <c r="F40" s="222">
        <v>0</v>
      </c>
      <c r="G40" s="86"/>
      <c r="I40" s="197"/>
      <c r="J40" s="13"/>
      <c r="K40" s="85"/>
      <c r="M40" s="197"/>
    </row>
    <row r="41" spans="1:18" s="61" customFormat="1" ht="15" customHeight="1">
      <c r="E41" s="182" t="s">
        <v>38</v>
      </c>
      <c r="F41" s="223">
        <f>SUM(F37:F40)</f>
        <v>547551.75</v>
      </c>
      <c r="G41" s="86"/>
      <c r="I41" s="214"/>
      <c r="J41" s="13"/>
      <c r="K41" s="87"/>
      <c r="M41" s="197"/>
      <c r="N41" s="272"/>
      <c r="P41" s="273"/>
      <c r="R41" s="273"/>
    </row>
    <row r="42" spans="1:18" s="61" customFormat="1" ht="15" customHeight="1">
      <c r="E42" s="183"/>
      <c r="F42" s="224"/>
      <c r="G42" s="9"/>
      <c r="I42" s="197"/>
      <c r="J42" s="13"/>
      <c r="M42" s="197"/>
    </row>
    <row r="43" spans="1:18" s="61" customFormat="1" ht="15" customHeight="1">
      <c r="E43" s="183" t="s">
        <v>152</v>
      </c>
      <c r="F43" s="224">
        <v>135000</v>
      </c>
      <c r="G43" s="9"/>
      <c r="I43" s="197"/>
      <c r="J43" s="13"/>
      <c r="M43" s="197"/>
      <c r="N43" s="272"/>
      <c r="P43" s="273"/>
      <c r="R43" s="273"/>
    </row>
    <row r="44" spans="1:18" s="61" customFormat="1" ht="15" customHeight="1">
      <c r="E44" s="183" t="s">
        <v>189</v>
      </c>
      <c r="F44" s="224">
        <v>80000</v>
      </c>
      <c r="G44" s="9"/>
      <c r="H44" s="163"/>
      <c r="I44" s="229"/>
      <c r="J44" s="13"/>
      <c r="L44" s="163"/>
      <c r="M44" s="229"/>
    </row>
    <row r="45" spans="1:18" s="61" customFormat="1" ht="15" customHeight="1">
      <c r="E45" s="183" t="s">
        <v>78</v>
      </c>
      <c r="F45" s="224">
        <v>60000</v>
      </c>
      <c r="G45" s="9"/>
      <c r="H45" s="165"/>
      <c r="I45" s="230"/>
      <c r="J45" s="13"/>
      <c r="L45" s="165"/>
      <c r="M45" s="230"/>
      <c r="N45" s="272"/>
      <c r="P45" s="273"/>
      <c r="R45" s="273"/>
    </row>
    <row r="46" spans="1:18" s="61" customFormat="1" ht="15" customHeight="1">
      <c r="E46" s="183" t="s">
        <v>336</v>
      </c>
      <c r="F46" s="224">
        <v>300000</v>
      </c>
      <c r="G46" s="9"/>
      <c r="H46" s="165"/>
      <c r="I46" s="230"/>
      <c r="J46" s="13"/>
    </row>
    <row r="47" spans="1:18" s="61" customFormat="1" ht="15" customHeight="1">
      <c r="E47" s="183" t="s">
        <v>81</v>
      </c>
      <c r="F47" s="224">
        <v>1750000</v>
      </c>
      <c r="G47" s="9"/>
      <c r="H47" s="165"/>
      <c r="I47" s="230"/>
      <c r="J47" s="13"/>
    </row>
    <row r="48" spans="1:18" s="61" customFormat="1" ht="15" customHeight="1">
      <c r="E48" s="183" t="s">
        <v>80</v>
      </c>
      <c r="F48" s="285">
        <v>1665928.42</v>
      </c>
      <c r="G48" s="9"/>
      <c r="H48" s="165"/>
      <c r="I48" s="230"/>
      <c r="J48" s="13"/>
    </row>
    <row r="49" spans="1:18" s="61" customFormat="1" ht="15" customHeight="1">
      <c r="E49" s="116" t="s">
        <v>24</v>
      </c>
      <c r="F49" s="220">
        <v>0</v>
      </c>
      <c r="G49" s="9"/>
      <c r="H49" s="91"/>
      <c r="I49" s="219"/>
      <c r="J49" s="13"/>
      <c r="N49" s="272"/>
      <c r="Q49" s="273"/>
      <c r="R49" s="273"/>
    </row>
    <row r="50" spans="1:18" s="61" customFormat="1">
      <c r="E50" s="116" t="s">
        <v>22</v>
      </c>
      <c r="F50" s="220">
        <f>100000-71000</f>
        <v>29000</v>
      </c>
      <c r="G50" s="8"/>
      <c r="H50" s="91"/>
      <c r="I50" s="219"/>
      <c r="J50" s="13"/>
    </row>
    <row r="51" spans="1:18" s="61" customFormat="1">
      <c r="E51" s="116" t="s">
        <v>40</v>
      </c>
      <c r="F51" s="226">
        <f>100000-40000</f>
        <v>60000</v>
      </c>
      <c r="G51" s="8"/>
      <c r="H51" s="91"/>
      <c r="I51" s="219"/>
      <c r="J51" s="13"/>
      <c r="N51" s="272"/>
      <c r="Q51" s="273"/>
      <c r="R51" s="273"/>
    </row>
    <row r="52" spans="1:18" s="61" customFormat="1">
      <c r="E52" s="116" t="s">
        <v>69</v>
      </c>
      <c r="F52" s="274">
        <v>60000</v>
      </c>
      <c r="G52" s="8"/>
      <c r="H52" s="91"/>
      <c r="I52" s="231"/>
      <c r="J52" s="13"/>
    </row>
    <row r="53" spans="1:18" s="61" customFormat="1">
      <c r="E53" s="118" t="s">
        <v>41</v>
      </c>
      <c r="F53" s="225">
        <f>SUM(F43:F52)</f>
        <v>4139928.42</v>
      </c>
      <c r="G53" s="8"/>
      <c r="H53" s="96"/>
      <c r="I53" s="231"/>
      <c r="J53" s="262"/>
    </row>
    <row r="54" spans="1:18" s="61" customFormat="1">
      <c r="E54" s="118" t="s">
        <v>42</v>
      </c>
      <c r="F54" s="225">
        <f>F41-F53</f>
        <v>-3592376.67</v>
      </c>
      <c r="G54" s="8"/>
      <c r="H54" s="83"/>
      <c r="I54" s="228"/>
      <c r="J54" s="13"/>
    </row>
    <row r="55" spans="1:18" s="61" customFormat="1">
      <c r="E55" s="8"/>
      <c r="F55" s="154"/>
      <c r="G55" s="82"/>
      <c r="H55" s="83"/>
      <c r="I55" s="233"/>
      <c r="J55" s="13"/>
      <c r="L55" s="91"/>
      <c r="M55" s="232"/>
    </row>
    <row r="56" spans="1:18" s="61" customFormat="1">
      <c r="E56" s="82" t="s">
        <v>43</v>
      </c>
      <c r="F56" s="80">
        <f>43800+180000</f>
        <v>223800</v>
      </c>
      <c r="G56" s="82"/>
      <c r="H56" s="83"/>
      <c r="I56" s="233"/>
      <c r="J56" s="13"/>
      <c r="L56" s="91"/>
      <c r="M56" s="232"/>
    </row>
    <row r="57" spans="1:18" s="61" customFormat="1">
      <c r="E57" s="82" t="s">
        <v>44</v>
      </c>
      <c r="F57" s="80">
        <v>365000</v>
      </c>
      <c r="G57" s="82"/>
      <c r="H57" s="83"/>
      <c r="I57" s="233"/>
      <c r="J57" s="13"/>
      <c r="L57" s="96"/>
      <c r="M57" s="231"/>
    </row>
    <row r="58" spans="1:18" s="61" customFormat="1">
      <c r="E58" s="82" t="s">
        <v>45</v>
      </c>
      <c r="F58" s="117">
        <v>0</v>
      </c>
      <c r="G58" s="82"/>
      <c r="H58" s="96"/>
      <c r="I58" s="228"/>
      <c r="J58" s="13"/>
      <c r="L58" s="96"/>
      <c r="M58" s="233"/>
    </row>
    <row r="59" spans="1:18" s="61" customFormat="1">
      <c r="A59"/>
      <c r="B59"/>
      <c r="C59"/>
      <c r="D59"/>
      <c r="E59" s="82" t="s">
        <v>205</v>
      </c>
      <c r="F59" s="117">
        <v>0</v>
      </c>
      <c r="G59" s="82"/>
      <c r="H59" s="83"/>
      <c r="I59" s="233"/>
      <c r="J59" s="13"/>
    </row>
    <row r="60" spans="1:18" s="61" customFormat="1">
      <c r="A60"/>
      <c r="B60"/>
      <c r="C60"/>
      <c r="D60"/>
      <c r="E60" s="82" t="s">
        <v>206</v>
      </c>
      <c r="F60" s="117">
        <v>0</v>
      </c>
      <c r="G60" s="82"/>
      <c r="H60" s="96"/>
      <c r="I60" s="219"/>
      <c r="J60" s="13"/>
      <c r="L60" s="83"/>
      <c r="M60" s="228"/>
    </row>
    <row r="61" spans="1:18">
      <c r="E61" s="118" t="s">
        <v>46</v>
      </c>
      <c r="F61" s="120">
        <f>SUM(F56:F60)</f>
        <v>588800</v>
      </c>
      <c r="H61" s="61"/>
      <c r="I61" s="61"/>
      <c r="J61" s="13"/>
      <c r="K61" s="61"/>
      <c r="L61" s="61"/>
      <c r="M61" s="61"/>
    </row>
    <row r="62" spans="1:18">
      <c r="E62" s="82"/>
      <c r="F62" s="80"/>
      <c r="H62" s="61"/>
      <c r="I62" s="61"/>
      <c r="J62" s="13"/>
      <c r="K62" s="61"/>
      <c r="L62" s="61"/>
      <c r="M62" s="61"/>
    </row>
    <row r="63" spans="1:18">
      <c r="D63" s="247" t="s">
        <v>192</v>
      </c>
      <c r="E63" s="118" t="s">
        <v>47</v>
      </c>
      <c r="F63" s="120">
        <f>F54-F61</f>
        <v>-4181176.67</v>
      </c>
    </row>
    <row r="64" spans="1:18">
      <c r="D64" s="247" t="s">
        <v>194</v>
      </c>
      <c r="E64" s="8"/>
      <c r="F64" s="219"/>
    </row>
    <row r="65" spans="1:7">
      <c r="D65" s="8" t="s">
        <v>9</v>
      </c>
      <c r="E65" s="8"/>
      <c r="F65" s="220"/>
      <c r="G65" s="8"/>
    </row>
    <row r="66" spans="1:7">
      <c r="D66" s="8" t="s">
        <v>195</v>
      </c>
      <c r="E66" s="8"/>
      <c r="F66" s="219"/>
      <c r="G66" s="8"/>
    </row>
    <row r="67" spans="1:7">
      <c r="D67" s="8" t="s">
        <v>188</v>
      </c>
      <c r="E67" s="8"/>
      <c r="F67" s="220"/>
      <c r="G67" s="8"/>
    </row>
    <row r="68" spans="1:7">
      <c r="D68" s="8"/>
      <c r="E68" s="247"/>
      <c r="F68" s="247"/>
      <c r="G68" s="8"/>
    </row>
    <row r="69" spans="1:7">
      <c r="E69" s="247"/>
      <c r="F69" s="248"/>
      <c r="G69" s="124">
        <f>SUM(E73:F73)</f>
        <v>0</v>
      </c>
    </row>
    <row r="70" spans="1:7">
      <c r="E70" s="276"/>
      <c r="F70" s="250"/>
      <c r="G70" s="8"/>
    </row>
    <row r="71" spans="1:7">
      <c r="E71" s="276"/>
      <c r="F71" s="250"/>
    </row>
    <row r="72" spans="1:7">
      <c r="E72" s="276"/>
      <c r="F72" s="250"/>
    </row>
    <row r="73" spans="1:7">
      <c r="E73" s="127"/>
      <c r="F73" s="250"/>
    </row>
    <row r="74" spans="1:7">
      <c r="A74" s="268"/>
      <c r="E74" s="79"/>
    </row>
    <row r="75" spans="1:7">
      <c r="E75" s="79"/>
    </row>
    <row r="76" spans="1:7">
      <c r="E76" s="79"/>
    </row>
    <row r="77" spans="1:7">
      <c r="B77" s="235"/>
      <c r="E77" s="79"/>
    </row>
    <row r="78" spans="1:7">
      <c r="E78" s="79"/>
    </row>
    <row r="79" spans="1:7">
      <c r="E79" s="79"/>
    </row>
    <row r="80" spans="1:7">
      <c r="A80" s="269"/>
      <c r="C80" s="155"/>
      <c r="E80" s="277"/>
    </row>
    <row r="82" spans="1:5">
      <c r="A82" s="269"/>
      <c r="C82" s="155"/>
      <c r="E82" s="155"/>
    </row>
    <row r="84" spans="1:5">
      <c r="A84" s="269"/>
      <c r="C84" s="155"/>
      <c r="E84" s="155"/>
    </row>
    <row r="86" spans="1:5">
      <c r="A86" s="269"/>
      <c r="C86" s="155"/>
      <c r="E86" s="155"/>
    </row>
    <row r="88" spans="1:5">
      <c r="A88" s="269"/>
      <c r="C88" s="155"/>
      <c r="E88" s="155"/>
    </row>
    <row r="90" spans="1:5">
      <c r="A90" s="269"/>
      <c r="C90" s="155"/>
      <c r="E90" s="155"/>
    </row>
    <row r="92" spans="1:5">
      <c r="A92" s="269"/>
      <c r="C92" s="155"/>
      <c r="E92" s="155"/>
    </row>
    <row r="94" spans="1:5">
      <c r="A94" s="269"/>
      <c r="C94" s="155"/>
      <c r="E94" s="155"/>
    </row>
    <row r="96" spans="1:5">
      <c r="A96" s="269"/>
      <c r="C96" s="155"/>
      <c r="E96" s="155"/>
    </row>
    <row r="98" spans="1:5">
      <c r="A98" s="269"/>
      <c r="C98" s="155"/>
      <c r="E98" s="155"/>
    </row>
    <row r="100" spans="1:5">
      <c r="A100" s="269"/>
      <c r="C100" s="155"/>
      <c r="E100" s="155"/>
    </row>
    <row r="102" spans="1:5">
      <c r="A102" s="269"/>
      <c r="C102" s="155"/>
      <c r="E102" s="155"/>
    </row>
    <row r="104" spans="1:5">
      <c r="A104" s="269"/>
      <c r="C104" s="155"/>
      <c r="E104" s="155"/>
    </row>
    <row r="106" spans="1:5">
      <c r="A106" s="269"/>
      <c r="C106" s="155"/>
      <c r="E106" s="155"/>
    </row>
    <row r="108" spans="1:5">
      <c r="A108" s="269"/>
      <c r="C108" s="155"/>
      <c r="E108" s="155"/>
    </row>
    <row r="110" spans="1:5">
      <c r="A110" s="269"/>
      <c r="C110" s="155"/>
      <c r="E110" s="155"/>
    </row>
    <row r="112" spans="1:5">
      <c r="A112" s="269"/>
      <c r="C112" s="155"/>
      <c r="E112" s="155"/>
    </row>
    <row r="114" spans="1:5">
      <c r="A114" s="269"/>
      <c r="C114" s="155"/>
      <c r="E114" s="155"/>
    </row>
    <row r="116" spans="1:5">
      <c r="A116" s="269"/>
      <c r="C116" s="155"/>
      <c r="E116" s="155"/>
    </row>
    <row r="118" spans="1:5">
      <c r="A118" s="269"/>
      <c r="C118" s="155"/>
      <c r="E118" s="155"/>
    </row>
    <row r="120" spans="1:5">
      <c r="A120" s="269"/>
      <c r="C120" s="155"/>
      <c r="E120" s="155"/>
    </row>
    <row r="122" spans="1:5">
      <c r="A122" s="269"/>
      <c r="C122" s="155"/>
      <c r="E122" s="155"/>
    </row>
    <row r="124" spans="1:5">
      <c r="A124" s="269"/>
      <c r="C124" s="155"/>
      <c r="E124" s="155"/>
    </row>
    <row r="126" spans="1:5">
      <c r="A126" s="269"/>
      <c r="C126" s="155"/>
      <c r="E126" s="155"/>
    </row>
    <row r="128" spans="1:5">
      <c r="A128" s="269"/>
      <c r="C128" s="155"/>
      <c r="E128" s="155"/>
    </row>
    <row r="130" spans="1:5">
      <c r="A130" s="269"/>
      <c r="C130" s="155"/>
      <c r="E130" s="155"/>
    </row>
    <row r="132" spans="1:5">
      <c r="A132" s="269"/>
      <c r="C132" s="155"/>
      <c r="E132" s="155"/>
    </row>
    <row r="134" spans="1:5">
      <c r="A134" s="269"/>
      <c r="C134" s="155"/>
      <c r="E134" s="155"/>
    </row>
    <row r="136" spans="1:5">
      <c r="A136" s="269"/>
      <c r="C136" s="155"/>
      <c r="E136" s="155"/>
    </row>
    <row r="138" spans="1:5">
      <c r="A138" s="269"/>
      <c r="C138" s="155"/>
      <c r="E138" s="155"/>
    </row>
    <row r="140" spans="1:5">
      <c r="A140" s="269"/>
      <c r="C140" s="155"/>
      <c r="E140" s="155"/>
    </row>
    <row r="142" spans="1:5">
      <c r="A142" s="269"/>
      <c r="C142" s="155"/>
      <c r="E142" s="155"/>
    </row>
    <row r="144" spans="1:5">
      <c r="A144" s="269"/>
      <c r="C144" s="155"/>
      <c r="E144" s="155"/>
    </row>
    <row r="146" spans="1:5">
      <c r="A146" s="269"/>
      <c r="C146" s="155"/>
      <c r="E146" s="155"/>
    </row>
    <row r="148" spans="1:5">
      <c r="A148" s="269"/>
      <c r="C148" s="155"/>
      <c r="E148" s="155"/>
    </row>
    <row r="150" spans="1:5">
      <c r="A150" s="269"/>
      <c r="C150" s="155"/>
      <c r="E150" s="155"/>
    </row>
    <row r="152" spans="1:5">
      <c r="A152" s="269"/>
      <c r="C152" s="155"/>
      <c r="E152" s="155"/>
    </row>
    <row r="154" spans="1:5">
      <c r="A154" s="269"/>
      <c r="C154" s="155"/>
      <c r="E154" s="155"/>
    </row>
    <row r="156" spans="1:5">
      <c r="A156" s="269"/>
      <c r="C156" s="155"/>
      <c r="E156" s="155"/>
    </row>
    <row r="158" spans="1:5">
      <c r="A158" s="269"/>
      <c r="C158" s="155"/>
      <c r="E158" s="155"/>
    </row>
    <row r="160" spans="1:5">
      <c r="A160" s="269"/>
      <c r="C160" s="155"/>
      <c r="E160" s="155"/>
    </row>
    <row r="162" spans="1:5">
      <c r="A162" s="269"/>
      <c r="C162" s="155"/>
      <c r="E162" s="155"/>
    </row>
    <row r="164" spans="1:5">
      <c r="A164" s="269"/>
      <c r="C164" s="155"/>
      <c r="E164" s="155"/>
    </row>
    <row r="166" spans="1:5">
      <c r="A166" s="269"/>
      <c r="C166" s="155"/>
      <c r="E166" s="155"/>
    </row>
    <row r="168" spans="1:5">
      <c r="A168" s="269"/>
      <c r="C168" s="155"/>
      <c r="E168" s="155"/>
    </row>
    <row r="170" spans="1:5">
      <c r="A170" s="269"/>
      <c r="C170" s="155"/>
      <c r="E170" s="155"/>
    </row>
    <row r="172" spans="1:5">
      <c r="A172" s="269"/>
      <c r="C172" s="155"/>
      <c r="E172" s="155"/>
    </row>
    <row r="174" spans="1:5">
      <c r="A174" s="269"/>
      <c r="C174" s="155"/>
      <c r="E174" s="155"/>
    </row>
    <row r="176" spans="1:5">
      <c r="A176" s="269"/>
      <c r="C176" s="155"/>
      <c r="E176" s="155"/>
    </row>
    <row r="178" spans="1:5">
      <c r="A178" s="269"/>
      <c r="C178" s="155"/>
      <c r="E178" s="155"/>
    </row>
    <row r="180" spans="1:5">
      <c r="A180" s="269"/>
      <c r="C180" s="155"/>
      <c r="E180" s="155"/>
    </row>
    <row r="182" spans="1:5">
      <c r="A182" s="269"/>
      <c r="C182" s="155"/>
      <c r="E182" s="155"/>
    </row>
    <row r="184" spans="1:5">
      <c r="A184" s="269"/>
      <c r="C184" s="155"/>
      <c r="E184" s="155"/>
    </row>
    <row r="186" spans="1:5">
      <c r="A186" s="269"/>
      <c r="C186" s="155"/>
      <c r="E186" s="155"/>
    </row>
    <row r="188" spans="1:5">
      <c r="A188" s="269"/>
      <c r="C188" s="155"/>
      <c r="E188" s="155"/>
    </row>
    <row r="190" spans="1:5">
      <c r="A190" s="269"/>
      <c r="C190" s="155"/>
      <c r="E190" s="155"/>
    </row>
    <row r="192" spans="1:5">
      <c r="A192" s="269"/>
      <c r="C192" s="155"/>
      <c r="E192" s="155"/>
    </row>
    <row r="194" spans="1:5">
      <c r="A194" s="269"/>
      <c r="C194" s="155"/>
      <c r="E194" s="155"/>
    </row>
    <row r="196" spans="1:5">
      <c r="A196" s="269"/>
      <c r="C196" s="155"/>
      <c r="E196" s="155"/>
    </row>
    <row r="198" spans="1:5">
      <c r="A198" s="269"/>
      <c r="C198" s="155"/>
      <c r="E198" s="155"/>
    </row>
    <row r="200" spans="1:5">
      <c r="A200" s="269"/>
      <c r="D200" s="155"/>
      <c r="E200" s="155"/>
    </row>
    <row r="202" spans="1:5">
      <c r="A202" s="269"/>
      <c r="C202" s="155"/>
      <c r="E202" s="155"/>
    </row>
    <row r="204" spans="1:5">
      <c r="A204" s="269"/>
      <c r="C204" s="155"/>
      <c r="E204" s="155"/>
    </row>
    <row r="206" spans="1:5">
      <c r="A206" s="269"/>
      <c r="C206" s="155"/>
      <c r="E206" s="155"/>
    </row>
    <row r="208" spans="1:5">
      <c r="A208" s="269"/>
      <c r="C208" s="155"/>
      <c r="E208" s="155"/>
    </row>
    <row r="210" spans="1:5">
      <c r="A210" s="269"/>
      <c r="C210" s="155"/>
      <c r="E210" s="155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8:H28"/>
    <mergeCell ref="B29:D29"/>
    <mergeCell ref="B30:D30"/>
    <mergeCell ref="B16:D16"/>
    <mergeCell ref="B17:D17"/>
    <mergeCell ref="B19:D19"/>
    <mergeCell ref="B20:D20"/>
    <mergeCell ref="G21:H21"/>
    <mergeCell ref="G26:K26"/>
  </mergeCell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11341-1596-422F-88DF-CB208B767787}">
  <dimension ref="B6:P68"/>
  <sheetViews>
    <sheetView showGridLines="0" topLeftCell="A9" workbookViewId="0">
      <selection activeCell="D43" sqref="D43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79" customWidth="1"/>
    <col min="7" max="7" width="15.7265625" customWidth="1"/>
    <col min="8" max="8" width="19.7265625" customWidth="1"/>
    <col min="9" max="9" width="1.453125" customWidth="1"/>
    <col min="10" max="10" width="24.26953125" customWidth="1"/>
    <col min="11" max="11" width="22.26953125" bestFit="1" customWidth="1"/>
    <col min="12" max="12" width="20.26953125" bestFit="1" customWidth="1"/>
    <col min="13" max="13" width="16.26953125" bestFit="1" customWidth="1"/>
    <col min="15" max="15" width="14.1796875" style="3" bestFit="1" customWidth="1"/>
    <col min="16" max="16" width="13.1796875" style="3" bestFit="1" customWidth="1"/>
    <col min="17" max="17" width="13.1796875" bestFit="1" customWidth="1"/>
  </cols>
  <sheetData>
    <row r="6" spans="2:13" s="8" customFormat="1" ht="18">
      <c r="B6" s="5"/>
      <c r="C6" s="5"/>
      <c r="D6" s="5"/>
      <c r="E6" s="6" t="s">
        <v>0</v>
      </c>
      <c r="F6" s="7"/>
      <c r="G6" s="5"/>
      <c r="H6" s="5"/>
      <c r="I6" s="5"/>
      <c r="J6" s="5"/>
      <c r="K6" s="5"/>
    </row>
    <row r="7" spans="2:13">
      <c r="B7" s="1"/>
      <c r="C7" s="1"/>
      <c r="D7" s="1"/>
      <c r="E7" s="1"/>
      <c r="F7" s="2"/>
      <c r="G7" s="1"/>
      <c r="H7" s="1"/>
      <c r="I7" s="1"/>
      <c r="J7" s="1"/>
      <c r="K7" s="1"/>
    </row>
    <row r="8" spans="2:13">
      <c r="B8" s="1"/>
      <c r="C8" s="1"/>
      <c r="D8" s="1"/>
      <c r="E8" s="1"/>
      <c r="F8" s="2"/>
      <c r="G8" s="1"/>
      <c r="H8" s="1"/>
      <c r="I8" s="4"/>
      <c r="J8" s="1"/>
      <c r="K8" s="1"/>
    </row>
    <row r="9" spans="2:13">
      <c r="B9" s="1"/>
      <c r="C9" s="1"/>
      <c r="D9" s="1"/>
      <c r="E9" s="1"/>
      <c r="F9" s="2"/>
      <c r="G9" s="1"/>
      <c r="H9" s="1"/>
      <c r="I9" s="4"/>
      <c r="J9" s="1"/>
      <c r="K9" s="1"/>
    </row>
    <row r="10" spans="2:13" ht="18.5">
      <c r="B10" s="1"/>
      <c r="C10" s="1"/>
      <c r="D10" s="1"/>
      <c r="E10" s="330" t="s">
        <v>1</v>
      </c>
      <c r="F10" s="330"/>
      <c r="G10" s="10">
        <f ca="1">TODAY()</f>
        <v>45831</v>
      </c>
      <c r="H10" s="1"/>
      <c r="I10" s="1"/>
      <c r="J10" s="1"/>
      <c r="K10" s="1"/>
    </row>
    <row r="11" spans="2:13" ht="15" thickBot="1">
      <c r="B11" s="1"/>
      <c r="C11" s="1"/>
      <c r="D11" s="1"/>
      <c r="E11" s="1"/>
      <c r="F11" s="2"/>
      <c r="G11" s="1"/>
      <c r="H11" s="1"/>
      <c r="I11" s="1"/>
      <c r="J11" s="1"/>
      <c r="K11" s="1"/>
    </row>
    <row r="12" spans="2:13" ht="18" thickBot="1">
      <c r="B12" s="331" t="s">
        <v>2</v>
      </c>
      <c r="C12" s="332"/>
      <c r="D12" s="332"/>
      <c r="E12" s="333"/>
      <c r="F12" s="12"/>
      <c r="G12" s="1"/>
      <c r="H12" s="1"/>
      <c r="I12" s="1"/>
      <c r="J12" s="1"/>
      <c r="K12" s="1"/>
      <c r="L12" s="13"/>
      <c r="M12" t="s">
        <v>20</v>
      </c>
    </row>
    <row r="13" spans="2:13" ht="18" thickBot="1">
      <c r="B13" s="1"/>
      <c r="C13" s="1"/>
      <c r="D13" s="1"/>
      <c r="E13" s="1"/>
      <c r="F13" s="123"/>
      <c r="G13" s="11"/>
      <c r="H13" s="11"/>
      <c r="I13" s="11"/>
      <c r="J13" s="15"/>
      <c r="K13" s="16"/>
      <c r="L13" s="13"/>
    </row>
    <row r="14" spans="2:13" ht="15" thickBot="1">
      <c r="B14" s="334" t="s">
        <v>3</v>
      </c>
      <c r="C14" s="335"/>
      <c r="D14" s="336"/>
      <c r="E14" s="17">
        <f>SUM(E15:E17)</f>
        <v>1084797.5899999999</v>
      </c>
      <c r="F14" s="107"/>
      <c r="G14" s="331" t="s">
        <v>4</v>
      </c>
      <c r="H14" s="332"/>
      <c r="I14" s="332"/>
      <c r="J14" s="332"/>
      <c r="K14" s="333"/>
      <c r="L14" s="19"/>
    </row>
    <row r="15" spans="2:13">
      <c r="B15" s="337" t="s">
        <v>5</v>
      </c>
      <c r="C15" s="338"/>
      <c r="D15" s="339"/>
      <c r="E15" s="20">
        <f>J16+J17+J18+J19</f>
        <v>322006.2</v>
      </c>
      <c r="F15" s="108">
        <f>E15+E16+E17</f>
        <v>1084797.5899999999</v>
      </c>
      <c r="G15" s="340" t="s">
        <v>6</v>
      </c>
      <c r="H15" s="341"/>
      <c r="I15" s="21"/>
      <c r="J15" s="342" t="s">
        <v>5</v>
      </c>
      <c r="K15" s="343"/>
      <c r="L15" s="13"/>
    </row>
    <row r="16" spans="2:13">
      <c r="B16" s="349" t="s">
        <v>7</v>
      </c>
      <c r="C16" s="350"/>
      <c r="D16" s="351"/>
      <c r="E16" s="20">
        <f>G21+G22</f>
        <v>29281.35</v>
      </c>
      <c r="F16" s="108">
        <v>90000</v>
      </c>
      <c r="G16" s="22">
        <v>12592.59</v>
      </c>
      <c r="H16" s="23" t="s">
        <v>8</v>
      </c>
      <c r="I16" s="24"/>
      <c r="J16" s="25">
        <v>50256.68</v>
      </c>
      <c r="K16" s="26" t="s">
        <v>9</v>
      </c>
      <c r="L16" s="13"/>
    </row>
    <row r="17" spans="2:14">
      <c r="B17" s="352" t="s">
        <v>6</v>
      </c>
      <c r="C17" s="353"/>
      <c r="D17" s="354"/>
      <c r="E17" s="28">
        <f>G16+G17+G18</f>
        <v>733510.03999999992</v>
      </c>
      <c r="F17" s="108">
        <f>F15-F16</f>
        <v>994797.58999999985</v>
      </c>
      <c r="G17" s="22">
        <v>682491.71</v>
      </c>
      <c r="H17" s="29" t="s">
        <v>10</v>
      </c>
      <c r="I17" s="30"/>
      <c r="J17" s="25">
        <v>134082.99</v>
      </c>
      <c r="K17" s="31" t="s">
        <v>10</v>
      </c>
      <c r="L17" s="13"/>
    </row>
    <row r="18" spans="2:14">
      <c r="B18" s="355" t="s">
        <v>11</v>
      </c>
      <c r="C18" s="356"/>
      <c r="D18" s="357"/>
      <c r="E18" s="20">
        <f>G28+G30+G29+G27</f>
        <v>2512747.31</v>
      </c>
      <c r="F18" s="109"/>
      <c r="G18" s="22">
        <v>38425.74</v>
      </c>
      <c r="H18" s="29" t="s">
        <v>12</v>
      </c>
      <c r="I18" s="30"/>
      <c r="J18" s="25">
        <v>106606.26</v>
      </c>
      <c r="K18" s="31" t="s">
        <v>12</v>
      </c>
      <c r="L18" s="32"/>
    </row>
    <row r="19" spans="2:14">
      <c r="B19" s="344" t="s">
        <v>13</v>
      </c>
      <c r="C19" s="345"/>
      <c r="D19" s="346"/>
      <c r="E19" s="20">
        <v>13717730.01</v>
      </c>
      <c r="F19" s="108"/>
      <c r="G19" s="33"/>
      <c r="H19" s="34"/>
      <c r="I19" s="30"/>
      <c r="J19" s="25">
        <v>31060.27</v>
      </c>
      <c r="K19" s="31" t="s">
        <v>14</v>
      </c>
      <c r="L19" s="13"/>
    </row>
    <row r="20" spans="2:14">
      <c r="B20" s="358" t="s">
        <v>15</v>
      </c>
      <c r="C20" s="359"/>
      <c r="D20" s="360"/>
      <c r="E20" s="35">
        <f>SUM(E21:E29)</f>
        <v>494079.17999999993</v>
      </c>
      <c r="F20" s="14"/>
      <c r="G20" s="361" t="s">
        <v>16</v>
      </c>
      <c r="H20" s="362"/>
      <c r="I20" s="36"/>
      <c r="J20" s="37"/>
      <c r="K20" s="38"/>
      <c r="L20" s="39"/>
    </row>
    <row r="21" spans="2:14">
      <c r="B21" s="40"/>
      <c r="C21" s="41"/>
      <c r="D21" s="122" t="s">
        <v>76</v>
      </c>
      <c r="E21" s="43">
        <v>293681.69</v>
      </c>
      <c r="F21" s="14"/>
      <c r="G21" s="44">
        <v>13485.96</v>
      </c>
      <c r="H21" s="29" t="s">
        <v>10</v>
      </c>
      <c r="I21" s="30"/>
      <c r="J21" s="37"/>
      <c r="K21" s="45"/>
      <c r="L21" s="39"/>
    </row>
    <row r="22" spans="2:14">
      <c r="B22" s="40"/>
      <c r="C22" s="41"/>
      <c r="D22" s="122" t="s">
        <v>71</v>
      </c>
      <c r="E22" s="43">
        <v>6960</v>
      </c>
      <c r="F22" s="14"/>
      <c r="G22" s="44">
        <v>15795.39</v>
      </c>
      <c r="H22" s="29" t="s">
        <v>18</v>
      </c>
      <c r="I22" s="30"/>
      <c r="J22" s="50"/>
      <c r="K22" s="38"/>
      <c r="L22" s="39"/>
    </row>
    <row r="23" spans="2:14" ht="15" thickBot="1">
      <c r="B23" s="40"/>
      <c r="C23" s="41"/>
      <c r="D23" s="122" t="s">
        <v>71</v>
      </c>
      <c r="E23" s="43">
        <v>6960</v>
      </c>
      <c r="F23" s="14"/>
      <c r="G23" s="51"/>
      <c r="H23" s="34"/>
      <c r="I23" s="30"/>
      <c r="J23" s="52"/>
      <c r="K23" s="53"/>
      <c r="L23" s="39"/>
      <c r="N23" t="s">
        <v>20</v>
      </c>
    </row>
    <row r="24" spans="2:14" ht="15" thickBot="1">
      <c r="B24" s="40"/>
      <c r="C24" s="41"/>
      <c r="D24" s="122" t="s">
        <v>71</v>
      </c>
      <c r="E24" s="43">
        <v>1624</v>
      </c>
      <c r="F24" s="14"/>
      <c r="G24" s="331" t="s">
        <v>21</v>
      </c>
      <c r="H24" s="332"/>
      <c r="I24" s="332"/>
      <c r="J24" s="332"/>
      <c r="K24" s="333"/>
      <c r="L24" s="39"/>
    </row>
    <row r="25" spans="2:14">
      <c r="B25" s="40"/>
      <c r="C25" s="41"/>
      <c r="D25" s="122" t="s">
        <v>72</v>
      </c>
      <c r="E25" s="43">
        <v>41617.160000000003</v>
      </c>
      <c r="F25" s="14"/>
      <c r="G25" s="54"/>
      <c r="H25" s="55"/>
      <c r="I25" s="56"/>
      <c r="J25" s="57"/>
      <c r="K25" s="58"/>
      <c r="L25" s="39"/>
    </row>
    <row r="26" spans="2:14">
      <c r="B26" s="40"/>
      <c r="C26" s="41"/>
      <c r="D26" s="122" t="s">
        <v>73</v>
      </c>
      <c r="E26" s="43">
        <v>10683.97</v>
      </c>
      <c r="F26" s="14"/>
      <c r="G26" s="347" t="s">
        <v>5</v>
      </c>
      <c r="H26" s="348"/>
      <c r="I26" s="59"/>
      <c r="J26" s="60"/>
      <c r="K26" s="45"/>
      <c r="L26" s="61"/>
    </row>
    <row r="27" spans="2:14">
      <c r="B27" s="40"/>
      <c r="C27" s="41"/>
      <c r="D27" s="122" t="s">
        <v>74</v>
      </c>
      <c r="E27" s="43">
        <v>638</v>
      </c>
      <c r="F27" s="14"/>
      <c r="G27" s="22">
        <f>31569.33-11500</f>
        <v>20069.330000000002</v>
      </c>
      <c r="H27" s="62" t="s">
        <v>9</v>
      </c>
      <c r="I27" s="59"/>
      <c r="J27" s="60"/>
      <c r="K27" s="45"/>
      <c r="L27" s="61"/>
    </row>
    <row r="28" spans="2:14">
      <c r="B28" s="40"/>
      <c r="C28" s="41"/>
      <c r="D28" s="122" t="s">
        <v>75</v>
      </c>
      <c r="E28" s="43">
        <v>12660.11</v>
      </c>
      <c r="F28" s="14"/>
      <c r="G28" s="22">
        <v>42057.78</v>
      </c>
      <c r="H28" s="62" t="s">
        <v>26</v>
      </c>
      <c r="I28" s="63"/>
      <c r="J28" s="64" t="s">
        <v>27</v>
      </c>
      <c r="K28" s="65" t="s">
        <v>28</v>
      </c>
      <c r="L28" s="61"/>
    </row>
    <row r="29" spans="2:14">
      <c r="B29" s="40"/>
      <c r="C29" s="41"/>
      <c r="D29" s="122" t="s">
        <v>75</v>
      </c>
      <c r="E29" s="43">
        <v>119254.25</v>
      </c>
      <c r="F29" s="14"/>
      <c r="G29" s="67">
        <v>31307.98</v>
      </c>
      <c r="H29" s="68" t="s">
        <v>14</v>
      </c>
      <c r="I29" s="63"/>
      <c r="J29" s="64" t="s">
        <v>30</v>
      </c>
      <c r="K29" s="65" t="s">
        <v>31</v>
      </c>
      <c r="L29" s="61"/>
    </row>
    <row r="30" spans="2:14" ht="15" thickBot="1">
      <c r="B30" s="46" t="s">
        <v>17</v>
      </c>
      <c r="C30" s="47"/>
      <c r="D30" s="48"/>
      <c r="E30" s="49">
        <v>73681.990000000005</v>
      </c>
      <c r="F30" s="14"/>
      <c r="G30" s="71">
        <v>2419312.2200000002</v>
      </c>
      <c r="H30" s="72" t="s">
        <v>12</v>
      </c>
      <c r="I30" s="73"/>
      <c r="J30" s="74" t="s">
        <v>32</v>
      </c>
      <c r="K30" s="75" t="s">
        <v>33</v>
      </c>
      <c r="L30" s="61"/>
    </row>
    <row r="31" spans="2:14">
      <c r="B31" s="366" t="s">
        <v>58</v>
      </c>
      <c r="C31" s="367"/>
      <c r="D31" s="368"/>
      <c r="E31" s="49">
        <v>3503.4</v>
      </c>
      <c r="F31" s="8"/>
      <c r="G31" s="76"/>
      <c r="H31" s="76"/>
      <c r="I31" s="76"/>
      <c r="J31" s="76"/>
      <c r="K31" s="1"/>
      <c r="L31" s="77"/>
    </row>
    <row r="32" spans="2:14">
      <c r="B32" s="344" t="s">
        <v>59</v>
      </c>
      <c r="C32" s="345"/>
      <c r="D32" s="346"/>
      <c r="E32" s="49">
        <v>0</v>
      </c>
      <c r="F32" s="8"/>
    </row>
    <row r="33" spans="2:11">
      <c r="B33" s="344" t="s">
        <v>22</v>
      </c>
      <c r="C33" s="345"/>
      <c r="D33" s="346"/>
      <c r="E33" s="49">
        <v>105000</v>
      </c>
      <c r="F33" s="9">
        <v>0</v>
      </c>
    </row>
    <row r="34" spans="2:11">
      <c r="B34" s="344" t="s">
        <v>64</v>
      </c>
      <c r="C34" s="345"/>
      <c r="D34" s="346"/>
      <c r="E34" s="49">
        <v>0</v>
      </c>
      <c r="F34" s="14">
        <v>20000</v>
      </c>
    </row>
    <row r="35" spans="2:11">
      <c r="B35" s="344" t="s">
        <v>24</v>
      </c>
      <c r="C35" s="345"/>
      <c r="D35" s="346"/>
      <c r="E35" s="49">
        <v>0</v>
      </c>
      <c r="F35" s="14">
        <v>40000</v>
      </c>
      <c r="H35" s="61"/>
      <c r="I35" s="61"/>
      <c r="J35" s="61"/>
      <c r="K35" s="61"/>
    </row>
    <row r="36" spans="2:11">
      <c r="B36" s="344" t="s">
        <v>25</v>
      </c>
      <c r="C36" s="345"/>
      <c r="D36" s="346"/>
      <c r="E36" s="49">
        <v>0</v>
      </c>
      <c r="F36" s="14">
        <v>30000</v>
      </c>
      <c r="H36" s="61"/>
      <c r="I36" s="61"/>
      <c r="J36" s="61"/>
      <c r="K36" s="61"/>
    </row>
    <row r="37" spans="2:11" ht="15" thickBot="1">
      <c r="B37" s="363" t="s">
        <v>29</v>
      </c>
      <c r="C37" s="364"/>
      <c r="D37" s="365"/>
      <c r="E37" s="66">
        <v>0</v>
      </c>
      <c r="F37" s="14">
        <v>2400000</v>
      </c>
      <c r="H37" s="61"/>
      <c r="I37" s="61"/>
      <c r="J37" s="61"/>
      <c r="K37" s="61"/>
    </row>
    <row r="38" spans="2:11" s="61" customFormat="1" ht="15" customHeight="1">
      <c r="B38" s="69"/>
      <c r="C38" s="69"/>
      <c r="D38" s="70"/>
      <c r="E38" s="101"/>
      <c r="F38" s="124">
        <f>SUM(F33:F37)</f>
        <v>2490000</v>
      </c>
      <c r="G38" s="8"/>
      <c r="H38" s="98"/>
      <c r="J38" s="105"/>
      <c r="K38" s="106"/>
    </row>
    <row r="39" spans="2:11" s="61" customFormat="1" ht="15" customHeight="1">
      <c r="B39"/>
      <c r="C39"/>
      <c r="D39"/>
      <c r="E39" s="79"/>
      <c r="F39" s="8"/>
      <c r="G39" s="86"/>
      <c r="H39" s="98"/>
      <c r="I39" s="98"/>
      <c r="K39" s="39"/>
    </row>
    <row r="40" spans="2:11" s="61" customFormat="1" ht="15" customHeight="1">
      <c r="B40"/>
      <c r="C40"/>
      <c r="D40"/>
      <c r="E40" s="79"/>
      <c r="F40" s="8"/>
      <c r="G40" s="86"/>
      <c r="H40" s="98"/>
      <c r="I40" s="98"/>
      <c r="K40" s="13"/>
    </row>
    <row r="41" spans="2:11" s="61" customFormat="1" ht="15" customHeight="1">
      <c r="D41" s="83"/>
      <c r="E41" s="110" t="s">
        <v>66</v>
      </c>
      <c r="F41" s="110"/>
      <c r="G41" s="86"/>
      <c r="H41" s="81"/>
      <c r="I41" s="8"/>
      <c r="J41" s="9"/>
      <c r="K41" s="84"/>
    </row>
    <row r="42" spans="2:11" s="61" customFormat="1" ht="15" customHeight="1">
      <c r="D42" s="83"/>
      <c r="E42" s="110"/>
      <c r="F42" s="110"/>
      <c r="G42" s="9"/>
      <c r="H42" s="81"/>
      <c r="I42" s="8"/>
      <c r="J42" s="9"/>
      <c r="K42" s="8"/>
    </row>
    <row r="43" spans="2:11" s="61" customFormat="1" ht="15" customHeight="1">
      <c r="D43" s="83"/>
      <c r="E43" s="82" t="s">
        <v>34</v>
      </c>
      <c r="F43" s="86">
        <f>F17</f>
        <v>994797.58999999985</v>
      </c>
      <c r="G43" s="9"/>
      <c r="H43" s="81"/>
      <c r="I43" s="8"/>
      <c r="J43" s="9"/>
      <c r="K43" s="8"/>
    </row>
    <row r="44" spans="2:11" s="61" customFormat="1" ht="15" customHeight="1">
      <c r="D44" s="83"/>
      <c r="E44" s="82" t="s">
        <v>35</v>
      </c>
      <c r="F44" s="86">
        <f>+F38</f>
        <v>2490000</v>
      </c>
      <c r="G44" s="9"/>
      <c r="H44" s="81"/>
      <c r="I44" s="8"/>
      <c r="J44" s="9"/>
      <c r="K44" s="8"/>
    </row>
    <row r="45" spans="2:11" s="61" customFormat="1" ht="15" customHeight="1">
      <c r="D45" s="83"/>
      <c r="E45" s="82" t="s">
        <v>36</v>
      </c>
      <c r="F45" s="86">
        <v>0</v>
      </c>
      <c r="G45" s="94">
        <v>810000</v>
      </c>
      <c r="H45" s="81"/>
      <c r="I45" s="8"/>
      <c r="J45" s="9"/>
      <c r="K45" s="8"/>
    </row>
    <row r="46" spans="2:11" s="61" customFormat="1" ht="15" customHeight="1">
      <c r="D46" s="83"/>
      <c r="E46" s="82" t="s">
        <v>37</v>
      </c>
      <c r="F46" s="86">
        <v>0</v>
      </c>
      <c r="G46" s="9"/>
      <c r="H46" s="80"/>
      <c r="I46" s="8"/>
      <c r="J46" s="8"/>
      <c r="K46" s="8"/>
    </row>
    <row r="47" spans="2:11" s="61" customFormat="1" ht="15" customHeight="1">
      <c r="D47" s="83"/>
      <c r="E47" s="112" t="s">
        <v>38</v>
      </c>
      <c r="F47" s="111">
        <f>SUM(F43:F46)</f>
        <v>3484797.59</v>
      </c>
      <c r="G47" s="9"/>
      <c r="H47" s="82"/>
      <c r="I47" s="8"/>
      <c r="J47" s="8"/>
      <c r="K47" s="8"/>
    </row>
    <row r="49" spans="5:6" s="61" customFormat="1" ht="15" customHeight="1">
      <c r="E49" s="114" t="s">
        <v>65</v>
      </c>
      <c r="F49" s="94">
        <v>75000</v>
      </c>
    </row>
    <row r="50" spans="5:6" s="61" customFormat="1" ht="15" customHeight="1">
      <c r="E50" s="113" t="s">
        <v>67</v>
      </c>
      <c r="F50" s="94">
        <v>1450000</v>
      </c>
    </row>
    <row r="51" spans="5:6" s="61" customFormat="1" ht="15" customHeight="1">
      <c r="E51" s="115" t="s">
        <v>68</v>
      </c>
      <c r="F51" s="94">
        <v>67500</v>
      </c>
    </row>
    <row r="52" spans="5:6" s="61" customFormat="1" ht="15" customHeight="1">
      <c r="E52" s="116" t="s">
        <v>24</v>
      </c>
      <c r="F52" s="117">
        <v>0</v>
      </c>
    </row>
    <row r="53" spans="5:6" s="61" customFormat="1" ht="15" customHeight="1">
      <c r="E53" s="116" t="s">
        <v>39</v>
      </c>
      <c r="F53" s="117">
        <v>2000</v>
      </c>
    </row>
    <row r="54" spans="5:6" s="61" customFormat="1" ht="15" customHeight="1">
      <c r="E54" s="116" t="s">
        <v>22</v>
      </c>
      <c r="F54" s="117">
        <f>50000+200000</f>
        <v>250000</v>
      </c>
    </row>
    <row r="55" spans="5:6" s="61" customFormat="1" ht="15" customHeight="1">
      <c r="E55" s="116" t="s">
        <v>69</v>
      </c>
      <c r="F55" s="117">
        <v>58322</v>
      </c>
    </row>
    <row r="56" spans="5:6" s="61" customFormat="1">
      <c r="E56" s="116" t="s">
        <v>52</v>
      </c>
      <c r="F56" s="117">
        <v>0</v>
      </c>
    </row>
    <row r="57" spans="5:6" s="61" customFormat="1">
      <c r="E57" s="116" t="s">
        <v>54</v>
      </c>
      <c r="F57" s="117">
        <v>0</v>
      </c>
    </row>
    <row r="58" spans="5:6" s="61" customFormat="1">
      <c r="E58" s="116" t="s">
        <v>55</v>
      </c>
      <c r="F58" s="117">
        <v>0</v>
      </c>
    </row>
    <row r="59" spans="5:6" s="61" customFormat="1">
      <c r="E59" s="116" t="s">
        <v>40</v>
      </c>
      <c r="F59" s="94">
        <f>100000-50000</f>
        <v>50000</v>
      </c>
    </row>
    <row r="60" spans="5:6" s="61" customFormat="1">
      <c r="E60" s="118" t="s">
        <v>41</v>
      </c>
      <c r="F60" s="119">
        <f>SUM(F49:F59)</f>
        <v>1952822</v>
      </c>
    </row>
    <row r="61" spans="5:6" s="61" customFormat="1">
      <c r="E61" s="118" t="s">
        <v>42</v>
      </c>
      <c r="F61" s="119">
        <f>F47-F60</f>
        <v>1531975.5899999999</v>
      </c>
    </row>
    <row r="62" spans="5:6" s="61" customFormat="1">
      <c r="E62" s="82"/>
      <c r="F62" s="82"/>
    </row>
    <row r="63" spans="5:6" s="61" customFormat="1">
      <c r="E63" s="82" t="s">
        <v>43</v>
      </c>
      <c r="F63" s="81">
        <f>43800+180000</f>
        <v>223800</v>
      </c>
    </row>
    <row r="64" spans="5:6" s="61" customFormat="1">
      <c r="E64" s="82" t="s">
        <v>44</v>
      </c>
      <c r="F64" s="81">
        <v>0</v>
      </c>
    </row>
    <row r="65" spans="5:6" s="61" customFormat="1">
      <c r="E65" s="82" t="s">
        <v>45</v>
      </c>
      <c r="F65" s="117">
        <v>0</v>
      </c>
    </row>
    <row r="66" spans="5:6" s="61" customFormat="1">
      <c r="E66" s="118" t="s">
        <v>46</v>
      </c>
      <c r="F66" s="120">
        <f>SUM(F63:F65)</f>
        <v>223800</v>
      </c>
    </row>
    <row r="67" spans="5:6" s="61" customFormat="1">
      <c r="E67" s="82"/>
      <c r="F67" s="82"/>
    </row>
    <row r="68" spans="5:6">
      <c r="E68" s="118" t="s">
        <v>47</v>
      </c>
      <c r="F68" s="121">
        <f>F61-F66</f>
        <v>1308175.5899999999</v>
      </c>
    </row>
  </sheetData>
  <mergeCells count="22">
    <mergeCell ref="B35:D35"/>
    <mergeCell ref="B36:D36"/>
    <mergeCell ref="B37:D37"/>
    <mergeCell ref="G24:K24"/>
    <mergeCell ref="B31:D31"/>
    <mergeCell ref="B32:D32"/>
    <mergeCell ref="G26:H26"/>
    <mergeCell ref="B33:D33"/>
    <mergeCell ref="B34:D34"/>
    <mergeCell ref="G20:H20"/>
    <mergeCell ref="E10:F10"/>
    <mergeCell ref="B12:E12"/>
    <mergeCell ref="B14:D14"/>
    <mergeCell ref="G14:K14"/>
    <mergeCell ref="B15:D15"/>
    <mergeCell ref="G15:H15"/>
    <mergeCell ref="J15:K15"/>
    <mergeCell ref="B16:D16"/>
    <mergeCell ref="B17:D17"/>
    <mergeCell ref="B18:D18"/>
    <mergeCell ref="B19:D19"/>
    <mergeCell ref="B20:D20"/>
  </mergeCells>
  <pageMargins left="0.7" right="0.7" top="0.75" bottom="0.75" header="0.3" footer="0.3"/>
  <drawing r:id="rId1"/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62C4C-1348-4E94-BBB3-9E06AF402313}">
  <dimension ref="A6:R210"/>
  <sheetViews>
    <sheetView showGridLines="0" topLeftCell="A6" workbookViewId="0">
      <selection activeCell="A6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2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2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  <c r="L13" s="13"/>
    </row>
    <row r="14" spans="1:12" ht="15" thickBot="1">
      <c r="A14" s="1"/>
      <c r="B14" s="334" t="s">
        <v>3</v>
      </c>
      <c r="C14" s="335"/>
      <c r="D14" s="336"/>
      <c r="E14" s="17">
        <f>SUM(E15:E17)</f>
        <v>534019.48</v>
      </c>
      <c r="F14" s="150"/>
      <c r="G14" s="331" t="s">
        <v>4</v>
      </c>
      <c r="H14" s="332"/>
      <c r="I14" s="332"/>
      <c r="J14" s="332"/>
      <c r="K14" s="333"/>
      <c r="L14" s="19"/>
    </row>
    <row r="15" spans="1:12">
      <c r="A15" s="1"/>
      <c r="B15" s="337" t="s">
        <v>5</v>
      </c>
      <c r="C15" s="338"/>
      <c r="D15" s="339"/>
      <c r="E15" s="20">
        <f>J16+J17+J18+J19</f>
        <v>404322.27</v>
      </c>
      <c r="F15" s="153">
        <f>E15+E16+E17</f>
        <v>534019.48</v>
      </c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35675.11</v>
      </c>
      <c r="F16" s="153">
        <v>90000</v>
      </c>
      <c r="G16" s="22">
        <v>57198.32</v>
      </c>
      <c r="H16" s="23" t="s">
        <v>8</v>
      </c>
      <c r="I16" s="24"/>
      <c r="J16" s="25">
        <v>36020.19</v>
      </c>
      <c r="K16" s="26" t="s">
        <v>9</v>
      </c>
      <c r="L16" s="13"/>
    </row>
    <row r="17" spans="2:18">
      <c r="B17" s="352" t="s">
        <v>6</v>
      </c>
      <c r="C17" s="353"/>
      <c r="D17" s="354"/>
      <c r="E17" s="28">
        <f>G16+G17+G18</f>
        <v>94022.1</v>
      </c>
      <c r="F17" s="153">
        <f>F15-F16</f>
        <v>444019.48</v>
      </c>
      <c r="G17" s="22">
        <v>14352.53</v>
      </c>
      <c r="H17" s="29" t="s">
        <v>10</v>
      </c>
      <c r="I17" s="30"/>
      <c r="J17" s="25">
        <v>47622.32</v>
      </c>
      <c r="K17" s="31" t="s">
        <v>10</v>
      </c>
    </row>
    <row r="18" spans="2:18">
      <c r="B18" s="236" t="s">
        <v>187</v>
      </c>
      <c r="C18" s="237"/>
      <c r="D18" s="238"/>
      <c r="E18" s="28">
        <f>+J22</f>
        <v>14541.8</v>
      </c>
      <c r="F18" s="153"/>
      <c r="G18" s="22">
        <v>22471.25</v>
      </c>
      <c r="H18" s="29" t="s">
        <v>12</v>
      </c>
      <c r="I18" s="30"/>
      <c r="J18" s="25">
        <v>51080.41</v>
      </c>
      <c r="K18" s="31" t="s">
        <v>12</v>
      </c>
    </row>
    <row r="19" spans="2:18">
      <c r="B19" s="379" t="s">
        <v>11</v>
      </c>
      <c r="C19" s="380"/>
      <c r="D19" s="381"/>
      <c r="E19" s="20">
        <f>G29+G31+G30+G28</f>
        <v>13371.29</v>
      </c>
      <c r="F19" s="153"/>
      <c r="G19" s="33"/>
      <c r="H19" s="34"/>
      <c r="I19" s="30"/>
      <c r="J19" s="25">
        <v>269599.34999999998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20354090.73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SUM(E23:E23)</f>
        <v>59805.39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120</v>
      </c>
      <c r="E22" s="190">
        <v>6813.98</v>
      </c>
      <c r="F22" s="153"/>
      <c r="G22" s="44">
        <v>13009.44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206"/>
      <c r="C23" s="205"/>
      <c r="D23" s="208" t="s">
        <v>120</v>
      </c>
      <c r="E23" s="190">
        <v>59805.39</v>
      </c>
      <c r="F23" s="153" t="e">
        <f>+F17-#REF!</f>
        <v>#REF!</v>
      </c>
      <c r="G23" s="44">
        <v>22665.67</v>
      </c>
      <c r="H23" s="29" t="s">
        <v>18</v>
      </c>
      <c r="I23" s="30"/>
      <c r="J23" s="25"/>
      <c r="K23" s="31"/>
    </row>
    <row r="24" spans="2:18" ht="15" thickBot="1">
      <c r="B24" s="46" t="s">
        <v>17</v>
      </c>
      <c r="C24" s="47"/>
      <c r="D24" s="48"/>
      <c r="E24" s="234">
        <v>0</v>
      </c>
      <c r="F24" s="153"/>
      <c r="G24" s="51"/>
      <c r="H24" s="34"/>
      <c r="I24" s="30"/>
      <c r="J24" s="210"/>
      <c r="K24" s="53"/>
    </row>
    <row r="25" spans="2:18" ht="15" thickBot="1">
      <c r="B25" s="202" t="s">
        <v>163</v>
      </c>
      <c r="C25" s="203"/>
      <c r="D25" s="204"/>
      <c r="E25" s="49">
        <v>0</v>
      </c>
      <c r="F25" s="153"/>
      <c r="G25" s="331" t="s">
        <v>21</v>
      </c>
      <c r="H25" s="332"/>
      <c r="I25" s="332"/>
      <c r="J25" s="332"/>
      <c r="K25" s="333"/>
      <c r="N25" s="269"/>
      <c r="Q25" s="155"/>
      <c r="R25" s="155"/>
    </row>
    <row r="26" spans="2:18">
      <c r="B26" s="199" t="s">
        <v>22</v>
      </c>
      <c r="C26" s="200"/>
      <c r="D26" s="201"/>
      <c r="E26" s="49">
        <v>0</v>
      </c>
      <c r="F26" s="221"/>
      <c r="G26" s="54"/>
      <c r="H26" s="55"/>
      <c r="I26" s="56"/>
      <c r="J26" s="211"/>
      <c r="K26" s="58"/>
      <c r="N26" s="269"/>
      <c r="P26" s="155"/>
      <c r="R26" s="155"/>
    </row>
    <row r="27" spans="2:18">
      <c r="B27" s="199" t="s">
        <v>64</v>
      </c>
      <c r="C27" s="200"/>
      <c r="D27" s="201"/>
      <c r="E27" s="49">
        <v>0</v>
      </c>
      <c r="F27" s="220"/>
      <c r="G27" s="377" t="s">
        <v>5</v>
      </c>
      <c r="H27" s="378"/>
      <c r="I27" s="59"/>
      <c r="J27" s="60"/>
      <c r="K27" s="45"/>
    </row>
    <row r="28" spans="2:18">
      <c r="B28" s="199" t="s">
        <v>24</v>
      </c>
      <c r="C28" s="200"/>
      <c r="D28" s="201"/>
      <c r="E28" s="49">
        <v>0</v>
      </c>
      <c r="F28" s="220"/>
      <c r="G28" s="22">
        <f>23964.14-11500-8500</f>
        <v>3964.1399999999994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344" t="s">
        <v>25</v>
      </c>
      <c r="C29" s="345"/>
      <c r="D29" s="346"/>
      <c r="E29" s="49">
        <v>0</v>
      </c>
      <c r="F29" s="220"/>
      <c r="G29" s="22">
        <f>155092.6- 154326.09</f>
        <v>766.51000000000931</v>
      </c>
      <c r="H29" s="62" t="s">
        <v>26</v>
      </c>
      <c r="I29" s="63"/>
      <c r="J29" s="64" t="s">
        <v>27</v>
      </c>
      <c r="K29" s="65" t="s">
        <v>28</v>
      </c>
    </row>
    <row r="30" spans="2:18" ht="15" thickBot="1">
      <c r="B30" s="363" t="s">
        <v>29</v>
      </c>
      <c r="C30" s="364"/>
      <c r="D30" s="365"/>
      <c r="E30" s="66">
        <v>0</v>
      </c>
      <c r="F30" s="220"/>
      <c r="G30" s="67">
        <v>1743.71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E31" s="61"/>
      <c r="F31" s="220"/>
      <c r="G31" s="71">
        <f>399152.57-392255.64</f>
        <v>6896.929999999993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79"/>
      <c r="N32" s="269"/>
      <c r="P32" s="155"/>
      <c r="R32" s="155"/>
    </row>
    <row r="33" spans="1:18">
      <c r="E33" s="79"/>
    </row>
    <row r="34" spans="1:18">
      <c r="E34" s="79"/>
      <c r="H34" s="61"/>
      <c r="I34" s="61"/>
      <c r="J34" s="13"/>
      <c r="K34" s="61"/>
      <c r="L34" s="61"/>
      <c r="M34" s="61"/>
      <c r="N34" s="269"/>
      <c r="P34" s="155"/>
      <c r="R34" s="155"/>
    </row>
    <row r="35" spans="1:18">
      <c r="A35" s="61"/>
      <c r="B35" s="61"/>
      <c r="C35" s="61"/>
      <c r="D35" s="61"/>
      <c r="E35" s="181" t="s">
        <v>335</v>
      </c>
      <c r="F35" s="222"/>
      <c r="H35" s="61"/>
      <c r="I35" s="61"/>
      <c r="J35" s="13"/>
      <c r="K35" s="61"/>
      <c r="L35" s="61"/>
      <c r="M35" s="61"/>
    </row>
    <row r="36" spans="1:18" s="61" customFormat="1" ht="15" customHeight="1">
      <c r="E36" s="181"/>
      <c r="F36" s="222"/>
      <c r="G36" s="8"/>
      <c r="H36" s="13"/>
      <c r="J36" s="13"/>
      <c r="K36" s="83"/>
      <c r="L36" s="88"/>
      <c r="N36" s="272"/>
      <c r="P36" s="273"/>
      <c r="R36" s="273"/>
    </row>
    <row r="37" spans="1:18" s="61" customFormat="1" ht="15" customHeight="1">
      <c r="E37" s="8" t="s">
        <v>34</v>
      </c>
      <c r="F37" s="222">
        <f>F17</f>
        <v>444019.48</v>
      </c>
      <c r="G37" s="181"/>
      <c r="H37" s="161"/>
      <c r="I37" s="197"/>
      <c r="J37" s="13"/>
      <c r="K37" s="83"/>
      <c r="L37" s="161"/>
      <c r="M37" s="197"/>
    </row>
    <row r="38" spans="1:18" s="61" customFormat="1" ht="15" customHeight="1">
      <c r="E38" s="8" t="s">
        <v>35</v>
      </c>
      <c r="F38" s="222">
        <f>+E19</f>
        <v>13371.29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1:18" s="61" customFormat="1" ht="15" customHeight="1">
      <c r="E39" s="8" t="s">
        <v>36</v>
      </c>
      <c r="F39" s="222">
        <v>0</v>
      </c>
      <c r="G39" s="86"/>
      <c r="I39" s="197"/>
      <c r="J39" s="13"/>
      <c r="K39" s="85"/>
      <c r="M39" s="197"/>
    </row>
    <row r="40" spans="1:18" s="61" customFormat="1" ht="15" customHeight="1">
      <c r="E40" s="8" t="s">
        <v>37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1:18" s="61" customFormat="1" ht="15" customHeight="1">
      <c r="E41" s="182" t="s">
        <v>38</v>
      </c>
      <c r="F41" s="223">
        <f>SUM(F37:F40)</f>
        <v>457390.76999999996</v>
      </c>
      <c r="G41" s="9"/>
      <c r="I41" s="197"/>
      <c r="J41" s="13"/>
      <c r="M41" s="197"/>
    </row>
    <row r="42" spans="1:18" s="61" customFormat="1" ht="15" customHeight="1">
      <c r="E42" s="183"/>
      <c r="F42" s="224"/>
      <c r="G42" s="9"/>
      <c r="I42" s="197"/>
      <c r="J42" s="13"/>
      <c r="M42" s="197"/>
      <c r="N42" s="272"/>
      <c r="P42" s="273"/>
      <c r="R42" s="273"/>
    </row>
    <row r="43" spans="1:18" s="61" customFormat="1" ht="15" customHeight="1">
      <c r="E43" s="183" t="s">
        <v>152</v>
      </c>
      <c r="F43" s="224">
        <v>135000</v>
      </c>
      <c r="G43" s="9"/>
      <c r="H43" s="163"/>
      <c r="I43" s="229"/>
      <c r="J43" s="13"/>
      <c r="L43" s="163"/>
      <c r="M43" s="229"/>
    </row>
    <row r="44" spans="1:18" s="61" customFormat="1" ht="15" customHeight="1">
      <c r="E44" s="183" t="s">
        <v>189</v>
      </c>
      <c r="F44" s="224">
        <v>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1:18" s="61" customFormat="1" ht="15" customHeight="1">
      <c r="E45" s="183" t="s">
        <v>78</v>
      </c>
      <c r="F45" s="224">
        <v>0</v>
      </c>
      <c r="G45" s="9"/>
      <c r="H45" s="165"/>
      <c r="I45" s="230"/>
      <c r="J45" s="13"/>
    </row>
    <row r="46" spans="1:18" s="61" customFormat="1" ht="15" customHeight="1">
      <c r="E46" s="183" t="s">
        <v>336</v>
      </c>
      <c r="F46" s="224">
        <v>300000</v>
      </c>
      <c r="G46" s="9"/>
      <c r="H46" s="165"/>
      <c r="I46" s="230"/>
      <c r="J46" s="13"/>
    </row>
    <row r="47" spans="1:18" s="61" customFormat="1" ht="15" customHeight="1">
      <c r="E47" s="183" t="s">
        <v>81</v>
      </c>
      <c r="F47" s="224">
        <v>1750000</v>
      </c>
      <c r="G47" s="9"/>
      <c r="H47" s="165"/>
      <c r="I47" s="230"/>
      <c r="J47" s="13"/>
    </row>
    <row r="48" spans="1:18" s="61" customFormat="1" ht="15" customHeight="1">
      <c r="E48" s="183" t="s">
        <v>80</v>
      </c>
      <c r="F48" s="224">
        <v>1665928.42</v>
      </c>
      <c r="G48" s="9"/>
      <c r="H48" s="91"/>
      <c r="I48" s="219"/>
      <c r="J48" s="13"/>
      <c r="N48" s="272"/>
      <c r="Q48" s="273"/>
      <c r="R48" s="273"/>
    </row>
    <row r="49" spans="1:18" s="61" customFormat="1">
      <c r="E49" s="116" t="s">
        <v>24</v>
      </c>
      <c r="F49" s="220">
        <v>0</v>
      </c>
      <c r="G49" s="8"/>
      <c r="H49" s="91"/>
      <c r="I49" s="219"/>
      <c r="J49" s="13"/>
    </row>
    <row r="50" spans="1:18" s="61" customFormat="1">
      <c r="E50" s="116" t="s">
        <v>22</v>
      </c>
      <c r="F50" s="220">
        <f>100000-71000</f>
        <v>29000</v>
      </c>
      <c r="G50" s="8"/>
      <c r="H50" s="91"/>
      <c r="I50" s="219"/>
      <c r="J50" s="13"/>
      <c r="N50" s="272"/>
      <c r="Q50" s="273"/>
      <c r="R50" s="273"/>
    </row>
    <row r="51" spans="1:18" s="61" customFormat="1">
      <c r="E51" s="116" t="s">
        <v>40</v>
      </c>
      <c r="F51" s="226">
        <f>100000-40000</f>
        <v>60000</v>
      </c>
      <c r="G51" s="8"/>
      <c r="H51" s="91"/>
      <c r="I51" s="231"/>
      <c r="J51" s="13"/>
    </row>
    <row r="52" spans="1:18" s="61" customFormat="1">
      <c r="E52" s="116" t="s">
        <v>69</v>
      </c>
      <c r="F52" s="226">
        <v>0</v>
      </c>
      <c r="G52" s="8"/>
      <c r="H52" s="96"/>
      <c r="I52" s="231"/>
      <c r="J52" s="262"/>
    </row>
    <row r="53" spans="1:18" s="61" customFormat="1">
      <c r="E53" s="118" t="s">
        <v>41</v>
      </c>
      <c r="F53" s="225">
        <f>SUM(F43:F52)</f>
        <v>3939928.42</v>
      </c>
      <c r="G53" s="8"/>
      <c r="H53" s="83"/>
      <c r="I53" s="228"/>
      <c r="J53" s="13"/>
    </row>
    <row r="54" spans="1:18" s="61" customFormat="1">
      <c r="E54" s="118" t="s">
        <v>42</v>
      </c>
      <c r="F54" s="225">
        <f>F41-F53</f>
        <v>-3482537.65</v>
      </c>
      <c r="G54" s="82"/>
      <c r="H54" s="83"/>
      <c r="I54" s="233"/>
      <c r="J54" s="13"/>
      <c r="L54" s="91"/>
      <c r="M54" s="232"/>
    </row>
    <row r="55" spans="1:18" s="61" customFormat="1">
      <c r="E55" s="8"/>
      <c r="F55" s="154"/>
      <c r="G55" s="82"/>
      <c r="H55" s="83"/>
      <c r="I55" s="233"/>
      <c r="J55" s="13"/>
      <c r="L55" s="91"/>
      <c r="M55" s="232"/>
    </row>
    <row r="56" spans="1:18" s="61" customFormat="1">
      <c r="E56" s="82" t="s">
        <v>43</v>
      </c>
      <c r="F56" s="80">
        <f>43800+180000</f>
        <v>223800</v>
      </c>
      <c r="G56" s="82"/>
      <c r="H56" s="83"/>
      <c r="I56" s="233"/>
      <c r="J56" s="13"/>
      <c r="L56" s="96"/>
      <c r="M56" s="231"/>
    </row>
    <row r="57" spans="1:18" s="61" customFormat="1">
      <c r="E57" s="82" t="s">
        <v>44</v>
      </c>
      <c r="F57" s="80">
        <v>365000</v>
      </c>
      <c r="G57" s="82"/>
      <c r="H57" s="96"/>
      <c r="I57" s="228"/>
      <c r="J57" s="13"/>
      <c r="L57" s="96"/>
      <c r="M57" s="233"/>
    </row>
    <row r="58" spans="1:18" s="61" customFormat="1">
      <c r="E58" s="82" t="s">
        <v>45</v>
      </c>
      <c r="F58" s="117">
        <v>0</v>
      </c>
      <c r="G58" s="82"/>
      <c r="H58" s="83"/>
      <c r="I58" s="233"/>
      <c r="J58" s="13"/>
    </row>
    <row r="59" spans="1:18" s="61" customFormat="1">
      <c r="A59"/>
      <c r="B59"/>
      <c r="C59"/>
      <c r="D59"/>
      <c r="E59" s="82" t="s">
        <v>205</v>
      </c>
      <c r="F59" s="117">
        <v>0</v>
      </c>
      <c r="G59" s="82"/>
      <c r="H59" s="96"/>
      <c r="I59" s="219"/>
      <c r="J59" s="13"/>
      <c r="L59" s="83"/>
      <c r="M59" s="228"/>
    </row>
    <row r="60" spans="1:18">
      <c r="E60" s="82" t="s">
        <v>206</v>
      </c>
      <c r="F60" s="117">
        <v>0</v>
      </c>
      <c r="H60" s="61"/>
      <c r="I60" s="61"/>
      <c r="J60" s="13"/>
      <c r="K60" s="61"/>
      <c r="L60" s="61"/>
      <c r="M60" s="61"/>
    </row>
    <row r="61" spans="1:18">
      <c r="E61" s="118" t="s">
        <v>46</v>
      </c>
      <c r="F61" s="120">
        <f>SUM(F56:F60)</f>
        <v>588800</v>
      </c>
      <c r="H61" s="61"/>
      <c r="I61" s="61"/>
      <c r="J61" s="13"/>
      <c r="K61" s="61"/>
      <c r="L61" s="61"/>
      <c r="M61" s="61"/>
    </row>
    <row r="62" spans="1:18">
      <c r="E62" s="82"/>
      <c r="F62" s="80"/>
    </row>
    <row r="63" spans="1:18">
      <c r="D63" s="247" t="s">
        <v>192</v>
      </c>
      <c r="E63" s="118" t="s">
        <v>47</v>
      </c>
      <c r="F63" s="120">
        <f>F54-F61</f>
        <v>-4071337.65</v>
      </c>
    </row>
    <row r="64" spans="1:18">
      <c r="D64" s="247" t="s">
        <v>194</v>
      </c>
      <c r="E64" s="8"/>
      <c r="F64" s="219"/>
      <c r="G64" s="8"/>
    </row>
    <row r="65" spans="1:7">
      <c r="D65" s="8" t="s">
        <v>9</v>
      </c>
      <c r="E65" s="8"/>
      <c r="F65" s="220"/>
      <c r="G65" s="8"/>
    </row>
    <row r="66" spans="1:7">
      <c r="D66" s="8" t="s">
        <v>195</v>
      </c>
      <c r="E66" s="8"/>
      <c r="F66" s="219"/>
      <c r="G66" s="8"/>
    </row>
    <row r="67" spans="1:7">
      <c r="D67" s="8" t="s">
        <v>188</v>
      </c>
      <c r="E67" s="8"/>
      <c r="F67" s="220"/>
      <c r="G67" s="8"/>
    </row>
    <row r="68" spans="1:7">
      <c r="D68" s="8"/>
      <c r="E68" s="247"/>
      <c r="F68" s="247"/>
      <c r="G68" s="124">
        <f>SUM(E73:F73)</f>
        <v>0</v>
      </c>
    </row>
    <row r="69" spans="1:7">
      <c r="E69" s="247"/>
      <c r="F69" s="248"/>
      <c r="G69" s="8"/>
    </row>
    <row r="70" spans="1:7">
      <c r="E70" s="276"/>
      <c r="F70" s="250"/>
    </row>
    <row r="71" spans="1:7">
      <c r="E71" s="276"/>
      <c r="F71" s="250"/>
    </row>
    <row r="72" spans="1:7">
      <c r="E72" s="276"/>
      <c r="F72" s="250"/>
    </row>
    <row r="73" spans="1:7">
      <c r="E73" s="127"/>
      <c r="F73" s="250"/>
    </row>
    <row r="74" spans="1:7">
      <c r="A74" s="268"/>
      <c r="E74" s="79"/>
    </row>
    <row r="75" spans="1:7">
      <c r="E75" s="79"/>
    </row>
    <row r="76" spans="1:7">
      <c r="E76" s="79"/>
    </row>
    <row r="77" spans="1:7">
      <c r="B77" s="235"/>
      <c r="E77" s="79"/>
    </row>
    <row r="78" spans="1:7">
      <c r="E78" s="79"/>
    </row>
    <row r="79" spans="1:7">
      <c r="E79" s="79"/>
    </row>
    <row r="80" spans="1:7">
      <c r="A80" s="269"/>
      <c r="C80" s="155"/>
      <c r="E80" s="277"/>
    </row>
    <row r="82" spans="1:5">
      <c r="A82" s="269"/>
      <c r="C82" s="155"/>
      <c r="E82" s="155"/>
    </row>
    <row r="84" spans="1:5">
      <c r="A84" s="269"/>
      <c r="C84" s="155"/>
      <c r="E84" s="155"/>
    </row>
    <row r="86" spans="1:5">
      <c r="A86" s="269"/>
      <c r="C86" s="155"/>
      <c r="E86" s="155"/>
    </row>
    <row r="88" spans="1:5">
      <c r="A88" s="269"/>
      <c r="C88" s="155"/>
      <c r="E88" s="155"/>
    </row>
    <row r="90" spans="1:5">
      <c r="A90" s="269"/>
      <c r="C90" s="155"/>
      <c r="E90" s="155"/>
    </row>
    <row r="92" spans="1:5">
      <c r="A92" s="269"/>
      <c r="C92" s="155"/>
      <c r="E92" s="155"/>
    </row>
    <row r="94" spans="1:5">
      <c r="A94" s="269"/>
      <c r="C94" s="155"/>
      <c r="E94" s="155"/>
    </row>
    <row r="96" spans="1:5">
      <c r="A96" s="269"/>
      <c r="C96" s="155"/>
      <c r="E96" s="155"/>
    </row>
    <row r="98" spans="1:5">
      <c r="A98" s="269"/>
      <c r="C98" s="155"/>
      <c r="E98" s="155"/>
    </row>
    <row r="100" spans="1:5">
      <c r="A100" s="269"/>
      <c r="C100" s="155"/>
      <c r="E100" s="155"/>
    </row>
    <row r="102" spans="1:5">
      <c r="A102" s="269"/>
      <c r="C102" s="155"/>
      <c r="E102" s="155"/>
    </row>
    <row r="104" spans="1:5">
      <c r="A104" s="269"/>
      <c r="C104" s="155"/>
      <c r="E104" s="155"/>
    </row>
    <row r="106" spans="1:5">
      <c r="A106" s="269"/>
      <c r="C106" s="155"/>
      <c r="E106" s="155"/>
    </row>
    <row r="108" spans="1:5">
      <c r="A108" s="269"/>
      <c r="C108" s="155"/>
      <c r="E108" s="155"/>
    </row>
    <row r="110" spans="1:5">
      <c r="A110" s="269"/>
      <c r="C110" s="155"/>
      <c r="E110" s="155"/>
    </row>
    <row r="112" spans="1:5">
      <c r="A112" s="269"/>
      <c r="C112" s="155"/>
      <c r="E112" s="155"/>
    </row>
    <row r="114" spans="1:5">
      <c r="A114" s="269"/>
      <c r="C114" s="155"/>
      <c r="E114" s="155"/>
    </row>
    <row r="116" spans="1:5">
      <c r="A116" s="269"/>
      <c r="C116" s="155"/>
      <c r="E116" s="155"/>
    </row>
    <row r="118" spans="1:5">
      <c r="A118" s="269"/>
      <c r="C118" s="155"/>
      <c r="E118" s="155"/>
    </row>
    <row r="120" spans="1:5">
      <c r="A120" s="269"/>
      <c r="C120" s="155"/>
      <c r="E120" s="155"/>
    </row>
    <row r="122" spans="1:5">
      <c r="A122" s="269"/>
      <c r="C122" s="155"/>
      <c r="E122" s="155"/>
    </row>
    <row r="124" spans="1:5">
      <c r="A124" s="269"/>
      <c r="C124" s="155"/>
      <c r="E124" s="155"/>
    </row>
    <row r="126" spans="1:5">
      <c r="A126" s="269"/>
      <c r="C126" s="155"/>
      <c r="E126" s="155"/>
    </row>
    <row r="128" spans="1:5">
      <c r="A128" s="269"/>
      <c r="C128" s="155"/>
      <c r="E128" s="155"/>
    </row>
    <row r="130" spans="1:5">
      <c r="A130" s="269"/>
      <c r="C130" s="155"/>
      <c r="E130" s="155"/>
    </row>
    <row r="132" spans="1:5">
      <c r="A132" s="269"/>
      <c r="C132" s="155"/>
      <c r="E132" s="155"/>
    </row>
    <row r="134" spans="1:5">
      <c r="A134" s="269"/>
      <c r="C134" s="155"/>
      <c r="E134" s="155"/>
    </row>
    <row r="136" spans="1:5">
      <c r="A136" s="269"/>
      <c r="C136" s="155"/>
      <c r="E136" s="155"/>
    </row>
    <row r="138" spans="1:5">
      <c r="A138" s="269"/>
      <c r="C138" s="155"/>
      <c r="E138" s="155"/>
    </row>
    <row r="140" spans="1:5">
      <c r="A140" s="269"/>
      <c r="C140" s="155"/>
      <c r="E140" s="155"/>
    </row>
    <row r="142" spans="1:5">
      <c r="A142" s="269"/>
      <c r="C142" s="155"/>
      <c r="E142" s="155"/>
    </row>
    <row r="144" spans="1:5">
      <c r="A144" s="269"/>
      <c r="C144" s="155"/>
      <c r="E144" s="155"/>
    </row>
    <row r="146" spans="1:5">
      <c r="A146" s="269"/>
      <c r="C146" s="155"/>
      <c r="E146" s="155"/>
    </row>
    <row r="148" spans="1:5">
      <c r="A148" s="269"/>
      <c r="C148" s="155"/>
      <c r="E148" s="155"/>
    </row>
    <row r="150" spans="1:5">
      <c r="A150" s="269"/>
      <c r="C150" s="155"/>
      <c r="E150" s="155"/>
    </row>
    <row r="152" spans="1:5">
      <c r="A152" s="269"/>
      <c r="C152" s="155"/>
      <c r="E152" s="155"/>
    </row>
    <row r="154" spans="1:5">
      <c r="A154" s="269"/>
      <c r="C154" s="155"/>
      <c r="E154" s="155"/>
    </row>
    <row r="156" spans="1:5">
      <c r="A156" s="269"/>
      <c r="C156" s="155"/>
      <c r="E156" s="155"/>
    </row>
    <row r="158" spans="1:5">
      <c r="A158" s="269"/>
      <c r="C158" s="155"/>
      <c r="E158" s="155"/>
    </row>
    <row r="160" spans="1:5">
      <c r="A160" s="269"/>
      <c r="C160" s="155"/>
      <c r="E160" s="155"/>
    </row>
    <row r="162" spans="1:5">
      <c r="A162" s="269"/>
      <c r="C162" s="155"/>
      <c r="E162" s="155"/>
    </row>
    <row r="164" spans="1:5">
      <c r="A164" s="269"/>
      <c r="C164" s="155"/>
      <c r="E164" s="155"/>
    </row>
    <row r="166" spans="1:5">
      <c r="A166" s="269"/>
      <c r="C166" s="155"/>
      <c r="E166" s="155"/>
    </row>
    <row r="168" spans="1:5">
      <c r="A168" s="269"/>
      <c r="C168" s="155"/>
      <c r="E168" s="155"/>
    </row>
    <row r="170" spans="1:5">
      <c r="A170" s="269"/>
      <c r="C170" s="155"/>
      <c r="E170" s="155"/>
    </row>
    <row r="172" spans="1:5">
      <c r="A172" s="269"/>
      <c r="C172" s="155"/>
      <c r="E172" s="155"/>
    </row>
    <row r="174" spans="1:5">
      <c r="A174" s="269"/>
      <c r="C174" s="155"/>
      <c r="E174" s="155"/>
    </row>
    <row r="176" spans="1:5">
      <c r="A176" s="269"/>
      <c r="C176" s="155"/>
      <c r="E176" s="155"/>
    </row>
    <row r="178" spans="1:5">
      <c r="A178" s="269"/>
      <c r="C178" s="155"/>
      <c r="E178" s="155"/>
    </row>
    <row r="180" spans="1:5">
      <c r="A180" s="269"/>
      <c r="C180" s="155"/>
      <c r="E180" s="155"/>
    </row>
    <row r="182" spans="1:5">
      <c r="A182" s="269"/>
      <c r="C182" s="155"/>
      <c r="E182" s="155"/>
    </row>
    <row r="184" spans="1:5">
      <c r="A184" s="269"/>
      <c r="C184" s="155"/>
      <c r="E184" s="155"/>
    </row>
    <row r="186" spans="1:5">
      <c r="A186" s="269"/>
      <c r="C186" s="155"/>
      <c r="E186" s="155"/>
    </row>
    <row r="188" spans="1:5">
      <c r="A188" s="269"/>
      <c r="C188" s="155"/>
      <c r="E188" s="155"/>
    </row>
    <row r="190" spans="1:5">
      <c r="A190" s="269"/>
      <c r="C190" s="155"/>
      <c r="E190" s="155"/>
    </row>
    <row r="192" spans="1:5">
      <c r="A192" s="269"/>
      <c r="C192" s="155"/>
      <c r="E192" s="155"/>
    </row>
    <row r="194" spans="1:5">
      <c r="A194" s="269"/>
      <c r="C194" s="155"/>
      <c r="E194" s="155"/>
    </row>
    <row r="196" spans="1:5">
      <c r="A196" s="269"/>
      <c r="C196" s="155"/>
      <c r="E196" s="155"/>
    </row>
    <row r="198" spans="1:5">
      <c r="A198" s="269"/>
      <c r="C198" s="155"/>
      <c r="E198" s="155"/>
    </row>
    <row r="200" spans="1:5">
      <c r="A200" s="269"/>
      <c r="D200" s="155"/>
      <c r="E200" s="155"/>
    </row>
    <row r="202" spans="1:5">
      <c r="A202" s="269"/>
      <c r="C202" s="155"/>
      <c r="E202" s="155"/>
    </row>
    <row r="204" spans="1:5">
      <c r="A204" s="269"/>
      <c r="C204" s="155"/>
      <c r="E204" s="155"/>
    </row>
    <row r="206" spans="1:5">
      <c r="A206" s="269"/>
      <c r="C206" s="155"/>
      <c r="E206" s="155"/>
    </row>
    <row r="208" spans="1:5">
      <c r="A208" s="269"/>
      <c r="C208" s="155"/>
      <c r="E208" s="155"/>
    </row>
    <row r="210" spans="1:5">
      <c r="A210" s="269"/>
      <c r="C210" s="155"/>
      <c r="E210" s="155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29:D29"/>
    <mergeCell ref="B30:D30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32D4A-23DC-4F85-9E40-879819E3F047}">
  <dimension ref="A6:R210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2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2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  <c r="L13" s="13"/>
    </row>
    <row r="14" spans="1:12" ht="15" thickBot="1">
      <c r="A14" s="1"/>
      <c r="B14" s="334" t="s">
        <v>3</v>
      </c>
      <c r="C14" s="335"/>
      <c r="D14" s="336"/>
      <c r="E14" s="17">
        <f>SUM(E15:E17)</f>
        <v>534947.48</v>
      </c>
      <c r="F14" s="150"/>
      <c r="G14" s="331" t="s">
        <v>4</v>
      </c>
      <c r="H14" s="332"/>
      <c r="I14" s="332"/>
      <c r="J14" s="332"/>
      <c r="K14" s="333"/>
      <c r="L14" s="19"/>
    </row>
    <row r="15" spans="1:12">
      <c r="A15" s="1"/>
      <c r="B15" s="337" t="s">
        <v>5</v>
      </c>
      <c r="C15" s="338"/>
      <c r="D15" s="339"/>
      <c r="E15" s="20">
        <f>J16+J17+J18+J19</f>
        <v>405250.27</v>
      </c>
      <c r="F15" s="153">
        <f>E15+E16+E17</f>
        <v>534947.48</v>
      </c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35675.11</v>
      </c>
      <c r="F16" s="153">
        <v>90000</v>
      </c>
      <c r="G16" s="22">
        <v>57198.32</v>
      </c>
      <c r="H16" s="23" t="s">
        <v>8</v>
      </c>
      <c r="I16" s="24"/>
      <c r="J16" s="25">
        <v>36020.19</v>
      </c>
      <c r="K16" s="26" t="s">
        <v>9</v>
      </c>
      <c r="L16" s="13"/>
    </row>
    <row r="17" spans="2:18">
      <c r="B17" s="352" t="s">
        <v>6</v>
      </c>
      <c r="C17" s="353"/>
      <c r="D17" s="354"/>
      <c r="E17" s="28">
        <f>G16+G17+G18</f>
        <v>94022.1</v>
      </c>
      <c r="F17" s="153">
        <f>F15-F16</f>
        <v>444947.48</v>
      </c>
      <c r="G17" s="22">
        <v>14352.53</v>
      </c>
      <c r="H17" s="29" t="s">
        <v>10</v>
      </c>
      <c r="I17" s="30"/>
      <c r="J17" s="25">
        <v>47622.32</v>
      </c>
      <c r="K17" s="31" t="s">
        <v>10</v>
      </c>
    </row>
    <row r="18" spans="2:18">
      <c r="B18" s="236" t="s">
        <v>187</v>
      </c>
      <c r="C18" s="237"/>
      <c r="D18" s="238"/>
      <c r="E18" s="28">
        <f>+J22</f>
        <v>14541.8</v>
      </c>
      <c r="F18" s="153"/>
      <c r="G18" s="22">
        <v>22471.25</v>
      </c>
      <c r="H18" s="29" t="s">
        <v>12</v>
      </c>
      <c r="I18" s="30"/>
      <c r="J18" s="25">
        <v>51080.41</v>
      </c>
      <c r="K18" s="31" t="s">
        <v>12</v>
      </c>
    </row>
    <row r="19" spans="2:18">
      <c r="B19" s="379" t="s">
        <v>11</v>
      </c>
      <c r="C19" s="380"/>
      <c r="D19" s="381"/>
      <c r="E19" s="20">
        <f>G29+G31+G30+G28</f>
        <v>13397.030000000004</v>
      </c>
      <c r="F19" s="153"/>
      <c r="G19" s="33"/>
      <c r="H19" s="34"/>
      <c r="I19" s="30"/>
      <c r="J19" s="25">
        <v>270527.34999999998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21655556.539999999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SUM(E22:E23)</f>
        <v>928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337</v>
      </c>
      <c r="E22" s="190">
        <v>928</v>
      </c>
      <c r="F22" s="153"/>
      <c r="G22" s="44">
        <v>13009.44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206"/>
      <c r="C23" s="205"/>
      <c r="D23" s="208"/>
      <c r="E23" s="190">
        <v>0</v>
      </c>
      <c r="F23" s="153" t="e">
        <f>+F17-#REF!</f>
        <v>#REF!</v>
      </c>
      <c r="G23" s="44">
        <v>22665.67</v>
      </c>
      <c r="H23" s="29" t="s">
        <v>18</v>
      </c>
      <c r="I23" s="30"/>
      <c r="J23" s="25"/>
      <c r="K23" s="31"/>
    </row>
    <row r="24" spans="2:18" ht="15" thickBot="1">
      <c r="B24" s="46" t="s">
        <v>17</v>
      </c>
      <c r="C24" s="47"/>
      <c r="D24" s="48"/>
      <c r="E24" s="234">
        <f>1450+22549.31</f>
        <v>23999.31</v>
      </c>
      <c r="F24" s="153"/>
      <c r="G24" s="51"/>
      <c r="H24" s="34"/>
      <c r="I24" s="30"/>
      <c r="J24" s="210"/>
      <c r="K24" s="53"/>
    </row>
    <row r="25" spans="2:18" ht="15" thickBot="1">
      <c r="B25" s="202" t="s">
        <v>163</v>
      </c>
      <c r="C25" s="203"/>
      <c r="D25" s="204"/>
      <c r="E25" s="234">
        <v>109658.8</v>
      </c>
      <c r="F25" s="153"/>
      <c r="G25" s="331" t="s">
        <v>21</v>
      </c>
      <c r="H25" s="332"/>
      <c r="I25" s="332"/>
      <c r="J25" s="332"/>
      <c r="K25" s="333"/>
      <c r="N25" s="269"/>
      <c r="Q25" s="155"/>
      <c r="R25" s="155"/>
    </row>
    <row r="26" spans="2:18">
      <c r="B26" s="199" t="s">
        <v>22</v>
      </c>
      <c r="C26" s="200"/>
      <c r="D26" s="201"/>
      <c r="E26" s="49">
        <f>6914+8042.2</f>
        <v>14956.2</v>
      </c>
      <c r="F26" s="221"/>
      <c r="G26" s="54"/>
      <c r="H26" s="55"/>
      <c r="I26" s="56"/>
      <c r="J26" s="211"/>
      <c r="K26" s="58"/>
      <c r="N26" s="269"/>
      <c r="P26" s="155"/>
      <c r="R26" s="155"/>
    </row>
    <row r="27" spans="2:18">
      <c r="B27" s="199" t="s">
        <v>64</v>
      </c>
      <c r="C27" s="200"/>
      <c r="D27" s="201"/>
      <c r="E27" s="49">
        <v>0</v>
      </c>
      <c r="F27" s="220"/>
      <c r="G27" s="377" t="s">
        <v>5</v>
      </c>
      <c r="H27" s="378"/>
      <c r="I27" s="59"/>
      <c r="J27" s="60"/>
      <c r="K27" s="45"/>
    </row>
    <row r="28" spans="2:18">
      <c r="B28" s="199" t="s">
        <v>24</v>
      </c>
      <c r="C28" s="200"/>
      <c r="D28" s="201"/>
      <c r="E28" s="49">
        <v>0</v>
      </c>
      <c r="F28" s="220"/>
      <c r="G28" s="22">
        <f>23967.04-11500-8500</f>
        <v>3967.0400000000009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344" t="s">
        <v>25</v>
      </c>
      <c r="C29" s="345"/>
      <c r="D29" s="346"/>
      <c r="E29" s="49">
        <v>0</v>
      </c>
      <c r="F29" s="220"/>
      <c r="G29" s="22">
        <f>155114.07- 154326.09</f>
        <v>787.98000000001048</v>
      </c>
      <c r="H29" s="62" t="s">
        <v>26</v>
      </c>
      <c r="I29" s="63"/>
      <c r="J29" s="64" t="s">
        <v>27</v>
      </c>
      <c r="K29" s="65" t="s">
        <v>28</v>
      </c>
    </row>
    <row r="30" spans="2:18" ht="15" thickBot="1">
      <c r="B30" s="363" t="s">
        <v>29</v>
      </c>
      <c r="C30" s="364"/>
      <c r="D30" s="365"/>
      <c r="E30" s="66">
        <v>0</v>
      </c>
      <c r="F30" s="220"/>
      <c r="G30" s="67">
        <v>1745.08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E31" s="61"/>
      <c r="F31" s="220"/>
      <c r="G31" s="71">
        <f>399152.57-392255.64</f>
        <v>6896.929999999993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79"/>
      <c r="N32" s="269"/>
      <c r="P32" s="155"/>
      <c r="R32" s="155"/>
    </row>
    <row r="33" spans="1:18">
      <c r="E33" s="79"/>
    </row>
    <row r="34" spans="1:18">
      <c r="E34" s="79"/>
      <c r="H34" s="61"/>
      <c r="I34" s="61"/>
      <c r="J34" s="13"/>
      <c r="K34" s="61"/>
      <c r="L34" s="61"/>
      <c r="M34" s="61"/>
      <c r="N34" s="269"/>
      <c r="P34" s="155"/>
      <c r="R34" s="155"/>
    </row>
    <row r="35" spans="1:18">
      <c r="A35" s="61"/>
      <c r="B35" s="61"/>
      <c r="C35" s="61"/>
      <c r="D35" s="61"/>
      <c r="E35" s="181" t="s">
        <v>335</v>
      </c>
      <c r="F35" s="222"/>
      <c r="H35" s="61"/>
      <c r="I35" s="61"/>
      <c r="J35" s="13"/>
      <c r="K35" s="61"/>
      <c r="L35" s="61"/>
      <c r="M35" s="61"/>
    </row>
    <row r="36" spans="1:18" s="61" customFormat="1" ht="15" customHeight="1">
      <c r="E36" s="181"/>
      <c r="F36" s="222"/>
      <c r="G36" s="8"/>
      <c r="H36" s="13"/>
      <c r="J36" s="13"/>
      <c r="K36" s="83"/>
      <c r="L36" s="88"/>
      <c r="N36" s="272"/>
      <c r="P36" s="273"/>
      <c r="R36" s="273"/>
    </row>
    <row r="37" spans="1:18" s="61" customFormat="1" ht="15" customHeight="1">
      <c r="E37" s="8" t="s">
        <v>34</v>
      </c>
      <c r="F37" s="222">
        <f>F17</f>
        <v>444947.48</v>
      </c>
      <c r="G37" s="181"/>
      <c r="H37" s="161"/>
      <c r="I37" s="197"/>
      <c r="J37" s="13"/>
      <c r="K37" s="83"/>
      <c r="L37" s="161"/>
      <c r="M37" s="197"/>
    </row>
    <row r="38" spans="1:18" s="61" customFormat="1" ht="15" customHeight="1">
      <c r="E38" s="8" t="s">
        <v>35</v>
      </c>
      <c r="F38" s="222">
        <f>+E19</f>
        <v>13397.030000000004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1:18" s="61" customFormat="1" ht="15" customHeight="1">
      <c r="E39" s="8" t="s">
        <v>36</v>
      </c>
      <c r="F39" s="222">
        <v>0</v>
      </c>
      <c r="G39" s="86"/>
      <c r="I39" s="197"/>
      <c r="J39" s="13"/>
      <c r="K39" s="85"/>
      <c r="M39" s="197"/>
    </row>
    <row r="40" spans="1:18" s="61" customFormat="1" ht="15" customHeight="1">
      <c r="E40" s="8" t="s">
        <v>37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1:18" s="61" customFormat="1" ht="15" customHeight="1">
      <c r="E41" s="182" t="s">
        <v>38</v>
      </c>
      <c r="F41" s="223">
        <f>SUM(F37:F40)</f>
        <v>458344.51</v>
      </c>
      <c r="G41" s="9"/>
      <c r="I41" s="197"/>
      <c r="J41" s="13"/>
      <c r="M41" s="197"/>
    </row>
    <row r="42" spans="1:18" s="61" customFormat="1" ht="15" customHeight="1">
      <c r="E42" s="183"/>
      <c r="F42" s="224"/>
      <c r="G42" s="9"/>
      <c r="I42" s="197"/>
      <c r="J42" s="13"/>
      <c r="M42" s="197"/>
      <c r="N42" s="272"/>
      <c r="P42" s="273"/>
      <c r="R42" s="273"/>
    </row>
    <row r="43" spans="1:18" s="61" customFormat="1" ht="15" customHeight="1">
      <c r="E43" s="183" t="s">
        <v>152</v>
      </c>
      <c r="F43" s="224">
        <v>135000</v>
      </c>
      <c r="G43" s="9"/>
      <c r="H43" s="163"/>
      <c r="I43" s="229"/>
      <c r="J43" s="13"/>
      <c r="L43" s="163"/>
      <c r="M43" s="229"/>
    </row>
    <row r="44" spans="1:18" s="61" customFormat="1" ht="15" customHeight="1">
      <c r="E44" s="183" t="s">
        <v>189</v>
      </c>
      <c r="F44" s="224">
        <v>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1:18" s="61" customFormat="1" ht="15" customHeight="1">
      <c r="E45" s="183" t="s">
        <v>78</v>
      </c>
      <c r="F45" s="224">
        <v>0</v>
      </c>
      <c r="G45" s="9"/>
      <c r="H45" s="165"/>
      <c r="I45" s="230"/>
      <c r="J45" s="13"/>
    </row>
    <row r="46" spans="1:18" s="61" customFormat="1" ht="15" customHeight="1">
      <c r="E46" s="183" t="s">
        <v>336</v>
      </c>
      <c r="F46" s="224">
        <v>300000</v>
      </c>
      <c r="G46" s="9"/>
      <c r="H46" s="165"/>
      <c r="I46" s="230"/>
      <c r="J46" s="13"/>
    </row>
    <row r="47" spans="1:18" s="61" customFormat="1" ht="15" customHeight="1">
      <c r="E47" s="183" t="s">
        <v>81</v>
      </c>
      <c r="F47" s="224">
        <v>1750000</v>
      </c>
      <c r="G47" s="9"/>
      <c r="H47" s="165"/>
      <c r="I47" s="230"/>
      <c r="J47" s="13"/>
    </row>
    <row r="48" spans="1:18" s="61" customFormat="1" ht="15" customHeight="1">
      <c r="E48" s="183" t="s">
        <v>80</v>
      </c>
      <c r="F48" s="224">
        <v>1665928.42</v>
      </c>
      <c r="G48" s="9"/>
      <c r="H48" s="91"/>
      <c r="I48" s="219"/>
      <c r="J48" s="13"/>
      <c r="N48" s="272"/>
      <c r="Q48" s="273"/>
      <c r="R48" s="273"/>
    </row>
    <row r="49" spans="1:18" s="61" customFormat="1">
      <c r="E49" s="116" t="s">
        <v>24</v>
      </c>
      <c r="F49" s="220">
        <v>0</v>
      </c>
      <c r="G49" s="8"/>
      <c r="H49" s="91"/>
      <c r="I49" s="219"/>
      <c r="J49" s="13"/>
    </row>
    <row r="50" spans="1:18" s="61" customFormat="1">
      <c r="E50" s="116" t="s">
        <v>22</v>
      </c>
      <c r="F50" s="220">
        <f>100000-71000</f>
        <v>29000</v>
      </c>
      <c r="G50" s="8"/>
      <c r="H50" s="91"/>
      <c r="I50" s="219"/>
      <c r="J50" s="13"/>
      <c r="N50" s="272"/>
      <c r="Q50" s="273"/>
      <c r="R50" s="273"/>
    </row>
    <row r="51" spans="1:18" s="61" customFormat="1">
      <c r="E51" s="116" t="s">
        <v>40</v>
      </c>
      <c r="F51" s="226">
        <f>100000-40000</f>
        <v>60000</v>
      </c>
      <c r="G51" s="8"/>
      <c r="H51" s="91"/>
      <c r="I51" s="231"/>
      <c r="J51" s="13"/>
    </row>
    <row r="52" spans="1:18" s="61" customFormat="1">
      <c r="E52" s="116" t="s">
        <v>69</v>
      </c>
      <c r="F52" s="226">
        <v>0</v>
      </c>
      <c r="G52" s="8"/>
      <c r="H52" s="96"/>
      <c r="I52" s="231"/>
      <c r="J52" s="262"/>
    </row>
    <row r="53" spans="1:18" s="61" customFormat="1">
      <c r="E53" s="118" t="s">
        <v>41</v>
      </c>
      <c r="F53" s="225">
        <f>SUM(F43:F52)</f>
        <v>3939928.42</v>
      </c>
      <c r="G53" s="8"/>
      <c r="H53" s="83"/>
      <c r="I53" s="228"/>
      <c r="J53" s="13"/>
    </row>
    <row r="54" spans="1:18" s="61" customFormat="1">
      <c r="E54" s="118" t="s">
        <v>42</v>
      </c>
      <c r="F54" s="225">
        <f>F41-F53</f>
        <v>-3481583.91</v>
      </c>
      <c r="G54" s="82"/>
      <c r="H54" s="83"/>
      <c r="I54" s="233"/>
      <c r="J54" s="13"/>
      <c r="L54" s="91"/>
      <c r="M54" s="232"/>
    </row>
    <row r="55" spans="1:18" s="61" customFormat="1">
      <c r="E55" s="8"/>
      <c r="F55" s="154"/>
      <c r="G55" s="82"/>
      <c r="H55" s="83"/>
      <c r="I55" s="233"/>
      <c r="J55" s="13"/>
      <c r="L55" s="91"/>
      <c r="M55" s="232"/>
    </row>
    <row r="56" spans="1:18" s="61" customFormat="1">
      <c r="E56" s="82" t="s">
        <v>43</v>
      </c>
      <c r="F56" s="80">
        <f>43800+180000</f>
        <v>223800</v>
      </c>
      <c r="G56" s="82"/>
      <c r="H56" s="83"/>
      <c r="I56" s="233"/>
      <c r="J56" s="13"/>
      <c r="L56" s="96"/>
      <c r="M56" s="231"/>
    </row>
    <row r="57" spans="1:18" s="61" customFormat="1">
      <c r="E57" s="82" t="s">
        <v>44</v>
      </c>
      <c r="F57" s="80">
        <v>365000</v>
      </c>
      <c r="G57" s="82"/>
      <c r="H57" s="96"/>
      <c r="I57" s="228"/>
      <c r="J57" s="13"/>
      <c r="L57" s="96"/>
      <c r="M57" s="233"/>
    </row>
    <row r="58" spans="1:18" s="61" customFormat="1">
      <c r="E58" s="82" t="s">
        <v>45</v>
      </c>
      <c r="F58" s="117">
        <v>0</v>
      </c>
      <c r="G58" s="82"/>
      <c r="H58" s="83"/>
      <c r="I58" s="233"/>
      <c r="J58" s="13"/>
    </row>
    <row r="59" spans="1:18" s="61" customFormat="1">
      <c r="A59"/>
      <c r="B59"/>
      <c r="C59"/>
      <c r="D59"/>
      <c r="E59" s="82" t="s">
        <v>205</v>
      </c>
      <c r="F59" s="117">
        <v>0</v>
      </c>
      <c r="G59" s="82"/>
      <c r="H59" s="96"/>
      <c r="I59" s="219"/>
      <c r="J59" s="13"/>
      <c r="L59" s="83"/>
      <c r="M59" s="228"/>
    </row>
    <row r="60" spans="1:18">
      <c r="E60" s="82" t="s">
        <v>206</v>
      </c>
      <c r="F60" s="117">
        <v>0</v>
      </c>
      <c r="H60" s="61"/>
      <c r="I60" s="61"/>
      <c r="J60" s="13"/>
      <c r="K60" s="61"/>
      <c r="L60" s="61"/>
      <c r="M60" s="61"/>
    </row>
    <row r="61" spans="1:18">
      <c r="E61" s="118" t="s">
        <v>46</v>
      </c>
      <c r="F61" s="120">
        <f>SUM(F56:F60)</f>
        <v>588800</v>
      </c>
      <c r="H61" s="61"/>
      <c r="I61" s="61"/>
      <c r="J61" s="13"/>
      <c r="K61" s="61"/>
      <c r="L61" s="61"/>
      <c r="M61" s="61"/>
    </row>
    <row r="62" spans="1:18">
      <c r="E62" s="82"/>
      <c r="F62" s="80"/>
    </row>
    <row r="63" spans="1:18">
      <c r="D63" s="247" t="s">
        <v>192</v>
      </c>
      <c r="E63" s="118" t="s">
        <v>47</v>
      </c>
      <c r="F63" s="120">
        <f>F54-F61</f>
        <v>-4070383.91</v>
      </c>
    </row>
    <row r="64" spans="1:18">
      <c r="D64" s="247" t="s">
        <v>194</v>
      </c>
      <c r="E64" s="8"/>
      <c r="F64" s="220"/>
      <c r="G64" s="8"/>
    </row>
    <row r="65" spans="1:7">
      <c r="D65" s="8" t="s">
        <v>9</v>
      </c>
      <c r="E65" s="8"/>
      <c r="F65" s="220"/>
      <c r="G65" s="8"/>
    </row>
    <row r="66" spans="1:7">
      <c r="D66" s="8" t="s">
        <v>195</v>
      </c>
      <c r="E66" s="8"/>
      <c r="F66" s="219"/>
      <c r="G66" s="8"/>
    </row>
    <row r="67" spans="1:7">
      <c r="D67" s="8" t="s">
        <v>188</v>
      </c>
      <c r="E67" s="8"/>
      <c r="F67" s="220"/>
      <c r="G67" s="8"/>
    </row>
    <row r="68" spans="1:7">
      <c r="D68" s="8"/>
      <c r="E68" s="247"/>
      <c r="F68" s="247"/>
      <c r="G68" s="124">
        <f>SUM(E73:F73)</f>
        <v>0</v>
      </c>
    </row>
    <row r="69" spans="1:7">
      <c r="E69" s="247"/>
      <c r="F69" s="248"/>
      <c r="G69" s="8"/>
    </row>
    <row r="70" spans="1:7">
      <c r="E70" s="276"/>
      <c r="F70" s="250"/>
    </row>
    <row r="71" spans="1:7">
      <c r="E71" s="276"/>
      <c r="F71" s="250"/>
    </row>
    <row r="72" spans="1:7">
      <c r="E72" s="276"/>
      <c r="F72" s="250"/>
    </row>
    <row r="73" spans="1:7">
      <c r="E73" s="127"/>
      <c r="F73" s="250"/>
    </row>
    <row r="74" spans="1:7">
      <c r="A74" s="268"/>
      <c r="E74" s="79"/>
    </row>
    <row r="75" spans="1:7">
      <c r="E75" s="79"/>
    </row>
    <row r="76" spans="1:7">
      <c r="E76" s="79"/>
    </row>
    <row r="77" spans="1:7">
      <c r="B77" s="235"/>
      <c r="E77" s="79"/>
    </row>
    <row r="78" spans="1:7">
      <c r="E78" s="79"/>
    </row>
    <row r="79" spans="1:7">
      <c r="E79" s="79"/>
    </row>
    <row r="80" spans="1:7">
      <c r="A80" s="269"/>
      <c r="C80" s="155"/>
      <c r="E80" s="277"/>
    </row>
    <row r="82" spans="1:5">
      <c r="A82" s="269"/>
      <c r="C82" s="155"/>
      <c r="E82" s="155"/>
    </row>
    <row r="84" spans="1:5">
      <c r="A84" s="269"/>
      <c r="C84" s="155"/>
      <c r="E84" s="155"/>
    </row>
    <row r="86" spans="1:5">
      <c r="A86" s="269"/>
      <c r="C86" s="155"/>
      <c r="E86" s="155"/>
    </row>
    <row r="88" spans="1:5">
      <c r="A88" s="269"/>
      <c r="C88" s="155"/>
      <c r="E88" s="155"/>
    </row>
    <row r="90" spans="1:5">
      <c r="A90" s="269"/>
      <c r="C90" s="155"/>
      <c r="E90" s="155"/>
    </row>
    <row r="92" spans="1:5">
      <c r="A92" s="269"/>
      <c r="C92" s="155"/>
      <c r="E92" s="155"/>
    </row>
    <row r="94" spans="1:5">
      <c r="A94" s="269"/>
      <c r="C94" s="155"/>
      <c r="E94" s="155"/>
    </row>
    <row r="96" spans="1:5">
      <c r="A96" s="269"/>
      <c r="C96" s="155"/>
      <c r="E96" s="155"/>
    </row>
    <row r="98" spans="1:5">
      <c r="A98" s="269"/>
      <c r="C98" s="155"/>
      <c r="E98" s="155"/>
    </row>
    <row r="100" spans="1:5">
      <c r="A100" s="269"/>
      <c r="C100" s="155"/>
      <c r="E100" s="155"/>
    </row>
    <row r="102" spans="1:5">
      <c r="A102" s="269"/>
      <c r="C102" s="155"/>
      <c r="E102" s="155"/>
    </row>
    <row r="104" spans="1:5">
      <c r="A104" s="269"/>
      <c r="C104" s="155"/>
      <c r="E104" s="155"/>
    </row>
    <row r="106" spans="1:5">
      <c r="A106" s="269"/>
      <c r="C106" s="155"/>
      <c r="E106" s="155"/>
    </row>
    <row r="108" spans="1:5">
      <c r="A108" s="269"/>
      <c r="C108" s="155"/>
      <c r="E108" s="155"/>
    </row>
    <row r="110" spans="1:5">
      <c r="A110" s="269"/>
      <c r="C110" s="155"/>
      <c r="E110" s="155"/>
    </row>
    <row r="112" spans="1:5">
      <c r="A112" s="269"/>
      <c r="C112" s="155"/>
      <c r="E112" s="155"/>
    </row>
    <row r="114" spans="1:5">
      <c r="A114" s="269"/>
      <c r="C114" s="155"/>
      <c r="E114" s="155"/>
    </row>
    <row r="116" spans="1:5">
      <c r="A116" s="269"/>
      <c r="C116" s="155"/>
      <c r="E116" s="155"/>
    </row>
    <row r="118" spans="1:5">
      <c r="A118" s="269"/>
      <c r="C118" s="155"/>
      <c r="E118" s="155"/>
    </row>
    <row r="120" spans="1:5">
      <c r="A120" s="269"/>
      <c r="C120" s="155"/>
      <c r="E120" s="155"/>
    </row>
    <row r="122" spans="1:5">
      <c r="A122" s="269"/>
      <c r="C122" s="155"/>
      <c r="E122" s="155"/>
    </row>
    <row r="124" spans="1:5">
      <c r="A124" s="269"/>
      <c r="C124" s="155"/>
      <c r="E124" s="155"/>
    </row>
    <row r="126" spans="1:5">
      <c r="A126" s="269"/>
      <c r="C126" s="155"/>
      <c r="E126" s="155"/>
    </row>
    <row r="128" spans="1:5">
      <c r="A128" s="269"/>
      <c r="C128" s="155"/>
      <c r="E128" s="155"/>
    </row>
    <row r="130" spans="1:5">
      <c r="A130" s="269"/>
      <c r="C130" s="155"/>
      <c r="E130" s="155"/>
    </row>
    <row r="132" spans="1:5">
      <c r="A132" s="269"/>
      <c r="C132" s="155"/>
      <c r="E132" s="155"/>
    </row>
    <row r="134" spans="1:5">
      <c r="A134" s="269"/>
      <c r="C134" s="155"/>
      <c r="E134" s="155"/>
    </row>
    <row r="136" spans="1:5">
      <c r="A136" s="269"/>
      <c r="C136" s="155"/>
      <c r="E136" s="155"/>
    </row>
    <row r="138" spans="1:5">
      <c r="A138" s="269"/>
      <c r="C138" s="155"/>
      <c r="E138" s="155"/>
    </row>
    <row r="140" spans="1:5">
      <c r="A140" s="269"/>
      <c r="C140" s="155"/>
      <c r="E140" s="155"/>
    </row>
    <row r="142" spans="1:5">
      <c r="A142" s="269"/>
      <c r="C142" s="155"/>
      <c r="E142" s="155"/>
    </row>
    <row r="144" spans="1:5">
      <c r="A144" s="269"/>
      <c r="C144" s="155"/>
      <c r="E144" s="155"/>
    </row>
    <row r="146" spans="1:5">
      <c r="A146" s="269"/>
      <c r="C146" s="155"/>
      <c r="E146" s="155"/>
    </row>
    <row r="148" spans="1:5">
      <c r="A148" s="269"/>
      <c r="C148" s="155"/>
      <c r="E148" s="155"/>
    </row>
    <row r="150" spans="1:5">
      <c r="A150" s="269"/>
      <c r="C150" s="155"/>
      <c r="E150" s="155"/>
    </row>
    <row r="152" spans="1:5">
      <c r="A152" s="269"/>
      <c r="C152" s="155"/>
      <c r="E152" s="155"/>
    </row>
    <row r="154" spans="1:5">
      <c r="A154" s="269"/>
      <c r="C154" s="155"/>
      <c r="E154" s="155"/>
    </row>
    <row r="156" spans="1:5">
      <c r="A156" s="269"/>
      <c r="C156" s="155"/>
      <c r="E156" s="155"/>
    </row>
    <row r="158" spans="1:5">
      <c r="A158" s="269"/>
      <c r="C158" s="155"/>
      <c r="E158" s="155"/>
    </row>
    <row r="160" spans="1:5">
      <c r="A160" s="269"/>
      <c r="C160" s="155"/>
      <c r="E160" s="155"/>
    </row>
    <row r="162" spans="1:5">
      <c r="A162" s="269"/>
      <c r="C162" s="155"/>
      <c r="E162" s="155"/>
    </row>
    <row r="164" spans="1:5">
      <c r="A164" s="269"/>
      <c r="C164" s="155"/>
      <c r="E164" s="155"/>
    </row>
    <row r="166" spans="1:5">
      <c r="A166" s="269"/>
      <c r="C166" s="155"/>
      <c r="E166" s="155"/>
    </row>
    <row r="168" spans="1:5">
      <c r="A168" s="269"/>
      <c r="C168" s="155"/>
      <c r="E168" s="155"/>
    </row>
    <row r="170" spans="1:5">
      <c r="A170" s="269"/>
      <c r="C170" s="155"/>
      <c r="E170" s="155"/>
    </row>
    <row r="172" spans="1:5">
      <c r="A172" s="269"/>
      <c r="C172" s="155"/>
      <c r="E172" s="155"/>
    </row>
    <row r="174" spans="1:5">
      <c r="A174" s="269"/>
      <c r="C174" s="155"/>
      <c r="E174" s="155"/>
    </row>
    <row r="176" spans="1:5">
      <c r="A176" s="269"/>
      <c r="C176" s="155"/>
      <c r="E176" s="155"/>
    </row>
    <row r="178" spans="1:5">
      <c r="A178" s="269"/>
      <c r="C178" s="155"/>
      <c r="E178" s="155"/>
    </row>
    <row r="180" spans="1:5">
      <c r="A180" s="269"/>
      <c r="C180" s="155"/>
      <c r="E180" s="155"/>
    </row>
    <row r="182" spans="1:5">
      <c r="A182" s="269"/>
      <c r="C182" s="155"/>
      <c r="E182" s="155"/>
    </row>
    <row r="184" spans="1:5">
      <c r="A184" s="269"/>
      <c r="C184" s="155"/>
      <c r="E184" s="155"/>
    </row>
    <row r="186" spans="1:5">
      <c r="A186" s="269"/>
      <c r="C186" s="155"/>
      <c r="E186" s="155"/>
    </row>
    <row r="188" spans="1:5">
      <c r="A188" s="269"/>
      <c r="C188" s="155"/>
      <c r="E188" s="155"/>
    </row>
    <row r="190" spans="1:5">
      <c r="A190" s="269"/>
      <c r="C190" s="155"/>
      <c r="E190" s="155"/>
    </row>
    <row r="192" spans="1:5">
      <c r="A192" s="269"/>
      <c r="C192" s="155"/>
      <c r="E192" s="155"/>
    </row>
    <row r="194" spans="1:5">
      <c r="A194" s="269"/>
      <c r="C194" s="155"/>
      <c r="E194" s="155"/>
    </row>
    <row r="196" spans="1:5">
      <c r="A196" s="269"/>
      <c r="C196" s="155"/>
      <c r="E196" s="155"/>
    </row>
    <row r="198" spans="1:5">
      <c r="A198" s="269"/>
      <c r="C198" s="155"/>
      <c r="E198" s="155"/>
    </row>
    <row r="200" spans="1:5">
      <c r="A200" s="269"/>
      <c r="D200" s="155"/>
      <c r="E200" s="155"/>
    </row>
    <row r="202" spans="1:5">
      <c r="A202" s="269"/>
      <c r="C202" s="155"/>
      <c r="E202" s="155"/>
    </row>
    <row r="204" spans="1:5">
      <c r="A204" s="269"/>
      <c r="C204" s="155"/>
      <c r="E204" s="155"/>
    </row>
    <row r="206" spans="1:5">
      <c r="A206" s="269"/>
      <c r="C206" s="155"/>
      <c r="E206" s="155"/>
    </row>
    <row r="208" spans="1:5">
      <c r="A208" s="269"/>
      <c r="C208" s="155"/>
      <c r="E208" s="155"/>
    </row>
    <row r="210" spans="1:5">
      <c r="A210" s="269"/>
      <c r="C210" s="155"/>
      <c r="E210" s="155"/>
    </row>
  </sheetData>
  <mergeCells count="16">
    <mergeCell ref="G27:H27"/>
    <mergeCell ref="B29:D29"/>
    <mergeCell ref="B30:D30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F93AF-3CCB-4EEC-BCD4-9F9FC0413879}">
  <dimension ref="A6:R208"/>
  <sheetViews>
    <sheetView showGridLines="0" topLeftCell="A6" workbookViewId="0">
      <selection activeCell="E35" sqref="E34:E35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2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2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  <c r="L13" s="13"/>
    </row>
    <row r="14" spans="1:12" ht="15" thickBot="1">
      <c r="A14" s="1"/>
      <c r="B14" s="334" t="s">
        <v>3</v>
      </c>
      <c r="C14" s="335"/>
      <c r="D14" s="336"/>
      <c r="E14" s="17">
        <f>SUM(E15:E17)</f>
        <v>2792616.3699999996</v>
      </c>
      <c r="F14" s="153"/>
      <c r="G14" s="331" t="s">
        <v>4</v>
      </c>
      <c r="H14" s="332"/>
      <c r="I14" s="332"/>
      <c r="J14" s="332"/>
      <c r="K14" s="333"/>
      <c r="L14" s="19"/>
    </row>
    <row r="15" spans="1:12">
      <c r="A15" s="1"/>
      <c r="B15" s="337" t="s">
        <v>5</v>
      </c>
      <c r="C15" s="338"/>
      <c r="D15" s="339"/>
      <c r="E15" s="20">
        <f>J16+J17+J18+J19</f>
        <v>2672670.59</v>
      </c>
      <c r="F15" s="153">
        <f>E15+E16+E17</f>
        <v>2792616.3699999996</v>
      </c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35836.11</v>
      </c>
      <c r="F16" s="153">
        <v>90000</v>
      </c>
      <c r="G16" s="22">
        <v>57198.32</v>
      </c>
      <c r="H16" s="23" t="s">
        <v>8</v>
      </c>
      <c r="I16" s="24"/>
      <c r="J16" s="25">
        <v>32681.71</v>
      </c>
      <c r="K16" s="26" t="s">
        <v>9</v>
      </c>
      <c r="L16" s="13"/>
    </row>
    <row r="17" spans="2:18">
      <c r="B17" s="352" t="s">
        <v>6</v>
      </c>
      <c r="C17" s="353"/>
      <c r="D17" s="354"/>
      <c r="E17" s="28">
        <f>G16+G17+G18</f>
        <v>84109.670000000013</v>
      </c>
      <c r="F17" s="153">
        <f>F15-F16</f>
        <v>2702616.3699999996</v>
      </c>
      <c r="G17" s="22">
        <v>14352.53</v>
      </c>
      <c r="H17" s="29" t="s">
        <v>10</v>
      </c>
      <c r="I17" s="30"/>
      <c r="J17" s="25">
        <v>10944.52</v>
      </c>
      <c r="K17" s="31" t="s">
        <v>10</v>
      </c>
    </row>
    <row r="18" spans="2:18">
      <c r="B18" s="236" t="s">
        <v>187</v>
      </c>
      <c r="C18" s="237"/>
      <c r="D18" s="238"/>
      <c r="E18" s="28">
        <f>+J22</f>
        <v>14541.8</v>
      </c>
      <c r="F18" s="153"/>
      <c r="G18" s="22">
        <v>12558.82</v>
      </c>
      <c r="H18" s="29" t="s">
        <v>12</v>
      </c>
      <c r="I18" s="30"/>
      <c r="J18" s="25">
        <v>2523249.85</v>
      </c>
      <c r="K18" s="31" t="s">
        <v>12</v>
      </c>
    </row>
    <row r="19" spans="2:18">
      <c r="B19" s="379" t="s">
        <v>11</v>
      </c>
      <c r="C19" s="380"/>
      <c r="D19" s="381"/>
      <c r="E19" s="20">
        <f>G29+G31+G30+G28</f>
        <v>13470.129999999988</v>
      </c>
      <c r="F19" s="153"/>
      <c r="G19" s="33"/>
      <c r="H19" s="34"/>
      <c r="I19" s="30"/>
      <c r="J19" s="25">
        <v>105794.51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18836074.920000002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SUM(E22:E23)</f>
        <v>2513675.9700000002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63</v>
      </c>
      <c r="E22" s="190">
        <v>2513675.9700000002</v>
      </c>
      <c r="F22" s="153"/>
      <c r="G22" s="44">
        <v>13819.44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206"/>
      <c r="C23" s="205"/>
      <c r="D23" s="208"/>
      <c r="E23" s="190">
        <v>0</v>
      </c>
      <c r="F23" s="153">
        <f>+F17-E24</f>
        <v>2674397.7999999998</v>
      </c>
      <c r="G23" s="44">
        <v>22016.67</v>
      </c>
      <c r="H23" s="29" t="s">
        <v>18</v>
      </c>
      <c r="I23" s="30"/>
      <c r="J23" s="25"/>
      <c r="K23" s="31"/>
    </row>
    <row r="24" spans="2:18" ht="15" thickBot="1">
      <c r="B24" s="46" t="s">
        <v>17</v>
      </c>
      <c r="C24" s="47"/>
      <c r="D24" s="48"/>
      <c r="E24" s="234">
        <v>28218.57</v>
      </c>
      <c r="F24" s="153"/>
      <c r="G24" s="51"/>
      <c r="H24" s="34"/>
      <c r="I24" s="30"/>
      <c r="J24" s="210"/>
      <c r="K24" s="53"/>
    </row>
    <row r="25" spans="2:18" ht="15" thickBot="1">
      <c r="B25" s="202" t="s">
        <v>163</v>
      </c>
      <c r="C25" s="203"/>
      <c r="D25" s="204"/>
      <c r="E25" s="234">
        <v>0</v>
      </c>
      <c r="F25" s="153"/>
      <c r="G25" s="331" t="s">
        <v>21</v>
      </c>
      <c r="H25" s="332"/>
      <c r="I25" s="332"/>
      <c r="J25" s="332"/>
      <c r="K25" s="333"/>
      <c r="N25" s="269"/>
      <c r="Q25" s="155"/>
      <c r="R25" s="155"/>
    </row>
    <row r="26" spans="2:18">
      <c r="B26" s="199" t="s">
        <v>22</v>
      </c>
      <c r="C26" s="200"/>
      <c r="D26" s="201"/>
      <c r="E26" s="49">
        <v>0</v>
      </c>
      <c r="F26" s="221"/>
      <c r="G26" s="54"/>
      <c r="H26" s="55"/>
      <c r="I26" s="56"/>
      <c r="J26" s="211"/>
      <c r="K26" s="58"/>
      <c r="N26" s="269"/>
      <c r="P26" s="155"/>
      <c r="R26" s="155"/>
    </row>
    <row r="27" spans="2:18">
      <c r="B27" s="199" t="s">
        <v>64</v>
      </c>
      <c r="C27" s="200"/>
      <c r="D27" s="201"/>
      <c r="E27" s="49">
        <v>0</v>
      </c>
      <c r="F27" s="220"/>
      <c r="G27" s="377" t="s">
        <v>5</v>
      </c>
      <c r="H27" s="378"/>
      <c r="I27" s="59"/>
      <c r="J27" s="60"/>
      <c r="K27" s="45"/>
    </row>
    <row r="28" spans="2:18">
      <c r="B28" s="199" t="s">
        <v>24</v>
      </c>
      <c r="C28" s="200"/>
      <c r="D28" s="201"/>
      <c r="E28" s="49">
        <v>0</v>
      </c>
      <c r="F28" s="220"/>
      <c r="G28" s="22">
        <f>23975.72-11500-8500</f>
        <v>3975.7200000000012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344" t="s">
        <v>25</v>
      </c>
      <c r="C29" s="345"/>
      <c r="D29" s="346"/>
      <c r="E29" s="49">
        <v>0</v>
      </c>
      <c r="F29" s="220"/>
      <c r="G29" s="22">
        <f>155178.49- 154326.09</f>
        <v>852.39999999999418</v>
      </c>
      <c r="H29" s="62" t="s">
        <v>26</v>
      </c>
      <c r="I29" s="63"/>
      <c r="J29" s="64" t="s">
        <v>27</v>
      </c>
      <c r="K29" s="65" t="s">
        <v>28</v>
      </c>
    </row>
    <row r="30" spans="2:18" ht="15" thickBot="1">
      <c r="B30" s="363" t="s">
        <v>29</v>
      </c>
      <c r="C30" s="364"/>
      <c r="D30" s="365"/>
      <c r="E30" s="66">
        <v>0</v>
      </c>
      <c r="F30" s="220"/>
      <c r="G30" s="67">
        <v>1745.08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E31" s="61"/>
      <c r="F31" s="220"/>
      <c r="G31" s="71">
        <f>399152.57-392255.64</f>
        <v>6896.929999999993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79"/>
      <c r="F32" s="220"/>
      <c r="N32" s="269"/>
      <c r="P32" s="155"/>
      <c r="R32" s="155"/>
    </row>
    <row r="33" spans="1:18">
      <c r="E33" s="79"/>
      <c r="F33" s="220"/>
    </row>
    <row r="34" spans="1:18">
      <c r="E34" s="79"/>
      <c r="F34" s="220"/>
      <c r="H34" s="61"/>
      <c r="I34" s="61"/>
      <c r="J34" s="13"/>
      <c r="K34" s="61"/>
      <c r="L34" s="61"/>
      <c r="M34" s="61"/>
      <c r="N34" s="269"/>
      <c r="P34" s="155"/>
      <c r="R34" s="155"/>
    </row>
    <row r="35" spans="1:18">
      <c r="A35" s="61"/>
      <c r="B35" s="61"/>
      <c r="C35" s="61"/>
      <c r="D35" s="61"/>
      <c r="E35" s="181" t="s">
        <v>338</v>
      </c>
      <c r="F35" s="222"/>
      <c r="H35" s="61"/>
      <c r="I35" s="61"/>
      <c r="J35" s="13"/>
      <c r="K35" s="61"/>
      <c r="L35" s="61"/>
      <c r="M35" s="61"/>
    </row>
    <row r="36" spans="1:18" s="61" customFormat="1" ht="15" customHeight="1">
      <c r="E36" s="181"/>
      <c r="F36" s="222"/>
      <c r="G36" s="8"/>
      <c r="H36" s="13"/>
      <c r="J36" s="13"/>
      <c r="K36" s="83"/>
      <c r="L36" s="88"/>
      <c r="N36" s="272"/>
      <c r="P36" s="273"/>
      <c r="R36" s="273"/>
    </row>
    <row r="37" spans="1:18" s="61" customFormat="1" ht="15" customHeight="1">
      <c r="E37" s="8" t="s">
        <v>34</v>
      </c>
      <c r="F37" s="222">
        <f>F17</f>
        <v>2702616.3699999996</v>
      </c>
      <c r="G37" s="181"/>
      <c r="H37" s="161"/>
      <c r="I37" s="197"/>
      <c r="J37" s="13"/>
      <c r="K37" s="83"/>
      <c r="L37" s="161"/>
      <c r="M37" s="197"/>
    </row>
    <row r="38" spans="1:18" s="61" customFormat="1" ht="15" customHeight="1">
      <c r="E38" s="8" t="s">
        <v>35</v>
      </c>
      <c r="F38" s="222">
        <f>+E19</f>
        <v>13470.129999999988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1:18" s="61" customFormat="1" ht="15" customHeight="1">
      <c r="E39" s="8" t="s">
        <v>36</v>
      </c>
      <c r="F39" s="222">
        <v>0</v>
      </c>
      <c r="G39" s="86"/>
      <c r="I39" s="197"/>
      <c r="J39" s="13"/>
      <c r="K39" s="85"/>
      <c r="M39" s="197"/>
    </row>
    <row r="40" spans="1:18" s="61" customFormat="1" ht="15" customHeight="1">
      <c r="E40" s="8" t="s">
        <v>37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1:18" s="61" customFormat="1" ht="15" customHeight="1">
      <c r="E41" s="182" t="s">
        <v>38</v>
      </c>
      <c r="F41" s="223">
        <f>SUM(F37:F40)</f>
        <v>2716086.4999999995</v>
      </c>
      <c r="G41" s="9"/>
      <c r="I41" s="197"/>
      <c r="J41" s="13"/>
      <c r="M41" s="197"/>
    </row>
    <row r="42" spans="1:18" s="61" customFormat="1" ht="15" customHeight="1">
      <c r="E42" s="183"/>
      <c r="F42" s="224"/>
      <c r="G42" s="9"/>
      <c r="I42" s="197"/>
      <c r="J42" s="13"/>
      <c r="M42" s="197"/>
      <c r="N42" s="272"/>
      <c r="P42" s="273"/>
      <c r="R42" s="273"/>
    </row>
    <row r="43" spans="1:18" s="61" customFormat="1" ht="15" customHeight="1">
      <c r="E43" s="183" t="s">
        <v>152</v>
      </c>
      <c r="F43" s="224">
        <v>125000</v>
      </c>
      <c r="G43" s="9"/>
      <c r="H43" s="163"/>
      <c r="I43" s="229"/>
      <c r="J43" s="13"/>
      <c r="L43" s="163"/>
      <c r="M43" s="229"/>
    </row>
    <row r="44" spans="1:18" s="61" customFormat="1" ht="15" customHeight="1">
      <c r="E44" s="183" t="s">
        <v>180</v>
      </c>
      <c r="F44" s="224">
        <v>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1:18" s="61" customFormat="1" ht="15" customHeight="1">
      <c r="E45" s="183" t="s">
        <v>81</v>
      </c>
      <c r="F45" s="224">
        <v>1750000</v>
      </c>
      <c r="G45" s="9"/>
      <c r="H45" s="165"/>
      <c r="I45" s="230"/>
      <c r="J45" s="13"/>
    </row>
    <row r="46" spans="1:18" s="61" customFormat="1" ht="15" customHeight="1">
      <c r="E46" s="183" t="s">
        <v>80</v>
      </c>
      <c r="F46" s="224">
        <v>1665928.42</v>
      </c>
      <c r="G46" s="9"/>
      <c r="H46" s="91"/>
      <c r="I46" s="219"/>
      <c r="J46" s="13"/>
      <c r="N46" s="272"/>
      <c r="Q46" s="273"/>
      <c r="R46" s="273"/>
    </row>
    <row r="47" spans="1:18" s="61" customFormat="1">
      <c r="E47" s="116" t="s">
        <v>24</v>
      </c>
      <c r="F47" s="220">
        <v>0</v>
      </c>
      <c r="G47" s="8"/>
      <c r="H47" s="91"/>
      <c r="I47" s="219"/>
      <c r="J47" s="13"/>
    </row>
    <row r="48" spans="1:18" s="61" customFormat="1">
      <c r="E48" s="116" t="s">
        <v>22</v>
      </c>
      <c r="F48" s="220">
        <v>0</v>
      </c>
      <c r="G48" s="8"/>
      <c r="H48" s="91"/>
      <c r="I48" s="219"/>
      <c r="J48" s="13"/>
      <c r="N48" s="272"/>
      <c r="Q48" s="273"/>
      <c r="R48" s="273"/>
    </row>
    <row r="49" spans="1:13" s="61" customFormat="1">
      <c r="E49" s="116" t="s">
        <v>40</v>
      </c>
      <c r="F49" s="226">
        <v>0</v>
      </c>
      <c r="G49" s="8"/>
      <c r="H49" s="91"/>
      <c r="I49" s="231"/>
      <c r="J49" s="13"/>
    </row>
    <row r="50" spans="1:13" s="61" customFormat="1">
      <c r="E50" s="118" t="s">
        <v>41</v>
      </c>
      <c r="F50" s="225">
        <f>SUM(F43:F49)</f>
        <v>3540928.42</v>
      </c>
      <c r="G50" s="8"/>
      <c r="H50" s="96"/>
      <c r="I50" s="231"/>
      <c r="J50" s="262"/>
    </row>
    <row r="51" spans="1:13" s="61" customFormat="1">
      <c r="E51" s="118" t="s">
        <v>42</v>
      </c>
      <c r="F51" s="225">
        <f>F41-F50</f>
        <v>-824841.92000000039</v>
      </c>
      <c r="G51" s="82"/>
      <c r="H51" s="83"/>
      <c r="I51" s="228"/>
      <c r="J51" s="13"/>
    </row>
    <row r="52" spans="1:13" s="61" customFormat="1">
      <c r="E52" s="8"/>
      <c r="F52" s="154"/>
      <c r="G52" s="82"/>
      <c r="H52" s="83"/>
      <c r="I52" s="233"/>
      <c r="J52" s="13"/>
      <c r="L52" s="91"/>
      <c r="M52" s="232"/>
    </row>
    <row r="53" spans="1:13" s="61" customFormat="1">
      <c r="E53" s="82" t="s">
        <v>43</v>
      </c>
      <c r="F53" s="80">
        <f>43800+180000</f>
        <v>223800</v>
      </c>
      <c r="G53" s="82"/>
      <c r="H53" s="83"/>
      <c r="I53" s="233"/>
      <c r="J53" s="13"/>
      <c r="L53" s="91"/>
      <c r="M53" s="232"/>
    </row>
    <row r="54" spans="1:13" s="61" customFormat="1">
      <c r="E54" s="82" t="s">
        <v>44</v>
      </c>
      <c r="F54" s="80">
        <v>365000</v>
      </c>
      <c r="G54" s="82"/>
      <c r="H54" s="83"/>
      <c r="I54" s="233"/>
      <c r="J54" s="13"/>
      <c r="L54" s="96"/>
      <c r="M54" s="231"/>
    </row>
    <row r="55" spans="1:13" s="61" customFormat="1">
      <c r="E55" s="82" t="s">
        <v>45</v>
      </c>
      <c r="F55" s="117">
        <v>0</v>
      </c>
      <c r="G55" s="82"/>
      <c r="H55" s="96"/>
      <c r="I55" s="228"/>
      <c r="J55" s="13"/>
      <c r="L55" s="96"/>
      <c r="M55" s="233"/>
    </row>
    <row r="56" spans="1:13" s="61" customFormat="1">
      <c r="E56" s="82" t="s">
        <v>205</v>
      </c>
      <c r="F56" s="117">
        <v>0</v>
      </c>
      <c r="G56" s="82"/>
      <c r="H56" s="83"/>
      <c r="I56" s="233"/>
      <c r="J56" s="13"/>
    </row>
    <row r="57" spans="1:13" s="61" customFormat="1">
      <c r="A57"/>
      <c r="B57"/>
      <c r="C57"/>
      <c r="D57"/>
      <c r="E57" s="82" t="s">
        <v>206</v>
      </c>
      <c r="F57" s="117">
        <v>0</v>
      </c>
      <c r="G57"/>
      <c r="H57" s="96"/>
      <c r="I57" s="219"/>
      <c r="J57" s="13"/>
      <c r="L57" s="83"/>
      <c r="M57" s="228"/>
    </row>
    <row r="58" spans="1:13">
      <c r="E58" s="118" t="s">
        <v>46</v>
      </c>
      <c r="F58" s="120">
        <f>SUM(F53:F57)</f>
        <v>588800</v>
      </c>
      <c r="H58" s="61"/>
      <c r="I58" s="61"/>
      <c r="J58" s="13"/>
      <c r="K58" s="61"/>
      <c r="L58" s="61"/>
      <c r="M58" s="61"/>
    </row>
    <row r="59" spans="1:13">
      <c r="E59" s="82"/>
      <c r="F59" s="80"/>
      <c r="H59" s="61"/>
      <c r="I59" s="61"/>
      <c r="J59" s="13"/>
      <c r="K59" s="61"/>
      <c r="L59" s="61"/>
      <c r="M59" s="61"/>
    </row>
    <row r="60" spans="1:13">
      <c r="E60" s="118" t="s">
        <v>47</v>
      </c>
      <c r="F60" s="120">
        <f>F51-F58</f>
        <v>-1413641.9200000004</v>
      </c>
    </row>
    <row r="61" spans="1:13">
      <c r="D61" s="247" t="s">
        <v>192</v>
      </c>
      <c r="E61" s="8"/>
      <c r="G61" s="8"/>
    </row>
    <row r="62" spans="1:13">
      <c r="D62" s="247" t="s">
        <v>194</v>
      </c>
      <c r="E62" s="8"/>
      <c r="G62" s="8"/>
    </row>
    <row r="63" spans="1:13">
      <c r="D63" s="8" t="s">
        <v>9</v>
      </c>
      <c r="E63" s="8"/>
      <c r="G63" s="8"/>
    </row>
    <row r="64" spans="1:13">
      <c r="D64" s="8" t="s">
        <v>195</v>
      </c>
      <c r="E64" s="8"/>
      <c r="G64" s="8"/>
    </row>
    <row r="65" spans="1:7">
      <c r="D65" s="8" t="s">
        <v>188</v>
      </c>
      <c r="E65" s="247"/>
      <c r="F65" s="275"/>
      <c r="G65" s="124">
        <f>SUM(E70:F70)</f>
        <v>0</v>
      </c>
    </row>
    <row r="66" spans="1:7">
      <c r="D66" s="8"/>
      <c r="E66" s="247"/>
      <c r="F66" s="286"/>
      <c r="G66" s="8"/>
    </row>
    <row r="67" spans="1:7">
      <c r="E67" s="276"/>
      <c r="F67" s="287"/>
    </row>
    <row r="68" spans="1:7">
      <c r="E68" s="276"/>
      <c r="F68" s="287"/>
    </row>
    <row r="69" spans="1:7">
      <c r="E69" s="276"/>
      <c r="F69" s="287"/>
    </row>
    <row r="70" spans="1:7">
      <c r="E70" s="127"/>
      <c r="F70" s="287"/>
    </row>
    <row r="71" spans="1:7">
      <c r="E71" s="79"/>
    </row>
    <row r="72" spans="1:7">
      <c r="A72" s="268"/>
      <c r="E72" s="79"/>
    </row>
    <row r="73" spans="1:7">
      <c r="E73" s="79"/>
    </row>
    <row r="74" spans="1:7">
      <c r="E74" s="79"/>
    </row>
    <row r="75" spans="1:7">
      <c r="B75" s="235"/>
      <c r="E75" s="79"/>
    </row>
    <row r="76" spans="1:7">
      <c r="E76" s="79"/>
    </row>
    <row r="77" spans="1:7">
      <c r="E77" s="277"/>
    </row>
    <row r="78" spans="1:7">
      <c r="A78" s="269"/>
      <c r="C78" s="155"/>
      <c r="E78" s="79"/>
    </row>
    <row r="79" spans="1:7">
      <c r="E79" s="277"/>
    </row>
    <row r="80" spans="1:7">
      <c r="A80" s="269"/>
      <c r="C80" s="155"/>
      <c r="E80" s="79"/>
    </row>
    <row r="81" spans="1:5">
      <c r="E81" s="277"/>
    </row>
    <row r="82" spans="1:5">
      <c r="A82" s="269"/>
      <c r="C82" s="155"/>
      <c r="E82" s="79"/>
    </row>
    <row r="83" spans="1:5">
      <c r="E83" s="277"/>
    </row>
    <row r="84" spans="1:5">
      <c r="A84" s="269"/>
      <c r="C84" s="155"/>
      <c r="E84" s="79"/>
    </row>
    <row r="85" spans="1:5">
      <c r="E85" s="277"/>
    </row>
    <row r="86" spans="1:5">
      <c r="A86" s="269"/>
      <c r="C86" s="155"/>
      <c r="E86" s="79"/>
    </row>
    <row r="87" spans="1:5">
      <c r="E87" s="277"/>
    </row>
    <row r="88" spans="1:5">
      <c r="A88" s="269"/>
      <c r="C88" s="155"/>
      <c r="E88" s="79"/>
    </row>
    <row r="89" spans="1:5">
      <c r="E89" s="277"/>
    </row>
    <row r="90" spans="1:5">
      <c r="A90" s="269"/>
      <c r="C90" s="155"/>
      <c r="E90" s="79"/>
    </row>
    <row r="91" spans="1:5">
      <c r="E91" s="277"/>
    </row>
    <row r="92" spans="1:5">
      <c r="A92" s="269"/>
      <c r="C92" s="155"/>
      <c r="E92" s="79"/>
    </row>
    <row r="93" spans="1:5">
      <c r="E93" s="277"/>
    </row>
    <row r="94" spans="1:5">
      <c r="A94" s="269"/>
      <c r="C94" s="155"/>
      <c r="E94" s="79"/>
    </row>
    <row r="95" spans="1:5">
      <c r="E95" s="277"/>
    </row>
    <row r="96" spans="1:5">
      <c r="A96" s="269"/>
      <c r="C96" s="155"/>
      <c r="E96" s="79"/>
    </row>
    <row r="97" spans="1:5">
      <c r="E97" s="277"/>
    </row>
    <row r="98" spans="1:5">
      <c r="A98" s="269"/>
      <c r="C98" s="155"/>
      <c r="E98" s="79"/>
    </row>
    <row r="99" spans="1:5">
      <c r="E99" s="277"/>
    </row>
    <row r="100" spans="1:5">
      <c r="A100" s="269"/>
      <c r="C100" s="155"/>
      <c r="E100" s="79"/>
    </row>
    <row r="101" spans="1:5">
      <c r="E101" s="277"/>
    </row>
    <row r="102" spans="1:5">
      <c r="A102" s="269"/>
      <c r="C102" s="155"/>
      <c r="E102" s="79"/>
    </row>
    <row r="103" spans="1:5">
      <c r="E103" s="277"/>
    </row>
    <row r="104" spans="1:5">
      <c r="A104" s="269"/>
      <c r="C104" s="155"/>
      <c r="E104" s="79"/>
    </row>
    <row r="105" spans="1:5">
      <c r="E105" s="277"/>
    </row>
    <row r="106" spans="1:5">
      <c r="A106" s="269"/>
      <c r="C106" s="155"/>
      <c r="E106" s="79"/>
    </row>
    <row r="107" spans="1:5">
      <c r="E107" s="277"/>
    </row>
    <row r="108" spans="1:5">
      <c r="A108" s="269"/>
      <c r="C108" s="155"/>
      <c r="E108" s="79"/>
    </row>
    <row r="109" spans="1:5">
      <c r="E109" s="277"/>
    </row>
    <row r="110" spans="1:5">
      <c r="A110" s="269"/>
      <c r="C110" s="155"/>
      <c r="E110" s="79"/>
    </row>
    <row r="111" spans="1:5">
      <c r="E111" s="277"/>
    </row>
    <row r="112" spans="1:5">
      <c r="A112" s="269"/>
      <c r="C112" s="155"/>
      <c r="E112" s="79"/>
    </row>
    <row r="113" spans="1:5">
      <c r="E113" s="277"/>
    </row>
    <row r="114" spans="1:5">
      <c r="A114" s="269"/>
      <c r="C114" s="155"/>
      <c r="E114" s="79"/>
    </row>
    <row r="115" spans="1:5">
      <c r="E115" s="277"/>
    </row>
    <row r="116" spans="1:5">
      <c r="A116" s="269"/>
      <c r="C116" s="155"/>
      <c r="E116" s="79"/>
    </row>
    <row r="117" spans="1:5">
      <c r="E117" s="277"/>
    </row>
    <row r="118" spans="1:5">
      <c r="A118" s="269"/>
      <c r="C118" s="155"/>
      <c r="E118" s="79"/>
    </row>
    <row r="119" spans="1:5">
      <c r="E119" s="277"/>
    </row>
    <row r="120" spans="1:5">
      <c r="A120" s="269"/>
      <c r="C120" s="155"/>
      <c r="E120" s="79"/>
    </row>
    <row r="121" spans="1:5">
      <c r="E121" s="277"/>
    </row>
    <row r="122" spans="1:5">
      <c r="A122" s="269"/>
      <c r="C122" s="155"/>
    </row>
    <row r="123" spans="1:5">
      <c r="E123" s="155"/>
    </row>
    <row r="124" spans="1:5">
      <c r="A124" s="269"/>
      <c r="C124" s="155"/>
    </row>
    <row r="125" spans="1:5">
      <c r="E125" s="155"/>
    </row>
    <row r="126" spans="1:5">
      <c r="A126" s="269"/>
      <c r="C126" s="155"/>
    </row>
    <row r="127" spans="1:5">
      <c r="E127" s="155"/>
    </row>
    <row r="128" spans="1:5">
      <c r="A128" s="269"/>
      <c r="C128" s="155"/>
    </row>
    <row r="129" spans="1:5">
      <c r="E129" s="155"/>
    </row>
    <row r="130" spans="1:5">
      <c r="A130" s="269"/>
      <c r="C130" s="155"/>
    </row>
    <row r="131" spans="1:5">
      <c r="E131" s="155"/>
    </row>
    <row r="132" spans="1:5">
      <c r="A132" s="269"/>
      <c r="C132" s="155"/>
    </row>
    <row r="133" spans="1:5">
      <c r="E133" s="155"/>
    </row>
    <row r="134" spans="1:5">
      <c r="A134" s="269"/>
      <c r="C134" s="155"/>
    </row>
    <row r="135" spans="1:5">
      <c r="E135" s="155"/>
    </row>
    <row r="136" spans="1:5">
      <c r="A136" s="269"/>
      <c r="C136" s="155"/>
    </row>
    <row r="137" spans="1:5">
      <c r="E137" s="155"/>
    </row>
    <row r="138" spans="1:5">
      <c r="A138" s="269"/>
      <c r="C138" s="155"/>
    </row>
    <row r="139" spans="1:5">
      <c r="E139" s="155"/>
    </row>
    <row r="140" spans="1:5">
      <c r="A140" s="269"/>
      <c r="C140" s="155"/>
    </row>
    <row r="141" spans="1:5">
      <c r="E141" s="155"/>
    </row>
    <row r="142" spans="1:5">
      <c r="A142" s="269"/>
      <c r="C142" s="155"/>
    </row>
    <row r="143" spans="1:5">
      <c r="E143" s="155"/>
    </row>
    <row r="144" spans="1:5">
      <c r="A144" s="269"/>
      <c r="C144" s="155"/>
    </row>
    <row r="145" spans="1:5">
      <c r="E145" s="155"/>
    </row>
    <row r="146" spans="1:5">
      <c r="A146" s="269"/>
      <c r="C146" s="155"/>
    </row>
    <row r="147" spans="1:5">
      <c r="E147" s="155"/>
    </row>
    <row r="148" spans="1:5">
      <c r="A148" s="269"/>
      <c r="C148" s="155"/>
    </row>
    <row r="149" spans="1:5">
      <c r="E149" s="155"/>
    </row>
    <row r="150" spans="1:5">
      <c r="A150" s="269"/>
      <c r="C150" s="155"/>
    </row>
    <row r="151" spans="1:5">
      <c r="E151" s="155"/>
    </row>
    <row r="152" spans="1:5">
      <c r="A152" s="269"/>
      <c r="C152" s="155"/>
    </row>
    <row r="153" spans="1:5">
      <c r="E153" s="155"/>
    </row>
    <row r="154" spans="1:5">
      <c r="A154" s="269"/>
      <c r="C154" s="155"/>
    </row>
    <row r="155" spans="1:5">
      <c r="E155" s="155"/>
    </row>
    <row r="156" spans="1:5">
      <c r="A156" s="269"/>
      <c r="C156" s="155"/>
    </row>
    <row r="157" spans="1:5">
      <c r="E157" s="155"/>
    </row>
    <row r="158" spans="1:5">
      <c r="A158" s="269"/>
      <c r="C158" s="155"/>
    </row>
    <row r="159" spans="1:5">
      <c r="E159" s="155"/>
    </row>
    <row r="160" spans="1:5">
      <c r="A160" s="269"/>
      <c r="C160" s="155"/>
    </row>
    <row r="161" spans="1:5">
      <c r="E161" s="155"/>
    </row>
    <row r="162" spans="1:5">
      <c r="A162" s="269"/>
      <c r="C162" s="155"/>
    </row>
    <row r="163" spans="1:5">
      <c r="E163" s="155"/>
    </row>
    <row r="164" spans="1:5">
      <c r="A164" s="269"/>
      <c r="C164" s="155"/>
    </row>
    <row r="165" spans="1:5">
      <c r="E165" s="155"/>
    </row>
    <row r="166" spans="1:5">
      <c r="A166" s="269"/>
      <c r="C166" s="155"/>
    </row>
    <row r="167" spans="1:5">
      <c r="E167" s="155"/>
    </row>
    <row r="168" spans="1:5">
      <c r="A168" s="269"/>
      <c r="C168" s="155"/>
    </row>
    <row r="169" spans="1:5">
      <c r="E169" s="155"/>
    </row>
    <row r="170" spans="1:5">
      <c r="A170" s="269"/>
      <c r="C170" s="155"/>
    </row>
    <row r="171" spans="1:5">
      <c r="E171" s="155"/>
    </row>
    <row r="172" spans="1:5">
      <c r="A172" s="269"/>
      <c r="C172" s="155"/>
    </row>
    <row r="173" spans="1:5">
      <c r="E173" s="155"/>
    </row>
    <row r="174" spans="1:5">
      <c r="A174" s="269"/>
      <c r="C174" s="155"/>
    </row>
    <row r="175" spans="1:5">
      <c r="E175" s="155"/>
    </row>
    <row r="176" spans="1:5">
      <c r="A176" s="269"/>
      <c r="C176" s="155"/>
    </row>
    <row r="177" spans="1:5">
      <c r="E177" s="155"/>
    </row>
    <row r="178" spans="1:5">
      <c r="A178" s="269"/>
      <c r="C178" s="155"/>
    </row>
    <row r="179" spans="1:5">
      <c r="E179" s="155"/>
    </row>
    <row r="180" spans="1:5">
      <c r="A180" s="269"/>
      <c r="C180" s="155"/>
    </row>
    <row r="181" spans="1:5">
      <c r="E181" s="155"/>
    </row>
    <row r="182" spans="1:5">
      <c r="A182" s="269"/>
      <c r="C182" s="155"/>
    </row>
    <row r="183" spans="1:5">
      <c r="E183" s="155"/>
    </row>
    <row r="184" spans="1:5">
      <c r="A184" s="269"/>
      <c r="C184" s="155"/>
    </row>
    <row r="185" spans="1:5">
      <c r="E185" s="155"/>
    </row>
    <row r="186" spans="1:5">
      <c r="A186" s="269"/>
      <c r="C186" s="155"/>
    </row>
    <row r="187" spans="1:5">
      <c r="E187" s="155"/>
    </row>
    <row r="188" spans="1:5">
      <c r="A188" s="269"/>
      <c r="C188" s="155"/>
    </row>
    <row r="189" spans="1:5">
      <c r="E189" s="155"/>
    </row>
    <row r="190" spans="1:5">
      <c r="A190" s="269"/>
      <c r="C190" s="155"/>
    </row>
    <row r="191" spans="1:5">
      <c r="E191" s="155"/>
    </row>
    <row r="192" spans="1:5">
      <c r="A192" s="269"/>
      <c r="C192" s="155"/>
    </row>
    <row r="193" spans="1:5">
      <c r="E193" s="155"/>
    </row>
    <row r="194" spans="1:5">
      <c r="A194" s="269"/>
      <c r="C194" s="155"/>
    </row>
    <row r="195" spans="1:5">
      <c r="E195" s="155"/>
    </row>
    <row r="196" spans="1:5">
      <c r="A196" s="269"/>
      <c r="C196" s="155"/>
    </row>
    <row r="197" spans="1:5">
      <c r="E197" s="155"/>
    </row>
    <row r="198" spans="1:5">
      <c r="A198" s="269"/>
      <c r="D198" s="155"/>
    </row>
    <row r="199" spans="1:5">
      <c r="E199" s="155"/>
    </row>
    <row r="200" spans="1:5">
      <c r="A200" s="269"/>
      <c r="C200" s="155"/>
    </row>
    <row r="201" spans="1:5">
      <c r="E201" s="155"/>
    </row>
    <row r="202" spans="1:5">
      <c r="A202" s="269"/>
      <c r="C202" s="155"/>
    </row>
    <row r="203" spans="1:5">
      <c r="E203" s="155"/>
    </row>
    <row r="204" spans="1:5">
      <c r="A204" s="269"/>
      <c r="C204" s="155"/>
    </row>
    <row r="205" spans="1:5">
      <c r="E205" s="155"/>
    </row>
    <row r="206" spans="1:5">
      <c r="A206" s="269"/>
      <c r="C206" s="155"/>
    </row>
    <row r="207" spans="1:5">
      <c r="E207" s="155"/>
    </row>
    <row r="208" spans="1:5">
      <c r="A208" s="269"/>
      <c r="C208" s="155"/>
    </row>
  </sheetData>
  <mergeCells count="16">
    <mergeCell ref="G27:H27"/>
    <mergeCell ref="B29:D29"/>
    <mergeCell ref="B30:D30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31AB4-FA68-4D88-880F-F4B1D0E79E98}">
  <dimension ref="A6:R208"/>
  <sheetViews>
    <sheetView showGridLines="0" topLeftCell="A11" workbookViewId="0">
      <selection activeCell="A11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2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2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  <c r="L13" s="13"/>
    </row>
    <row r="14" spans="1:12" ht="15" thickBot="1">
      <c r="A14" s="1"/>
      <c r="B14" s="334" t="s">
        <v>3</v>
      </c>
      <c r="C14" s="335"/>
      <c r="D14" s="336"/>
      <c r="E14" s="17">
        <f>SUM(E15:E17)</f>
        <v>1338102.1599999999</v>
      </c>
      <c r="F14" s="153"/>
      <c r="G14" s="331" t="s">
        <v>4</v>
      </c>
      <c r="H14" s="332"/>
      <c r="I14" s="332"/>
      <c r="J14" s="332"/>
      <c r="K14" s="333"/>
      <c r="L14" s="19"/>
    </row>
    <row r="15" spans="1:12">
      <c r="A15" s="1"/>
      <c r="B15" s="337" t="s">
        <v>5</v>
      </c>
      <c r="C15" s="338"/>
      <c r="D15" s="339"/>
      <c r="E15" s="20">
        <f>J16+J17+J18+J19</f>
        <v>1120596.3999999999</v>
      </c>
      <c r="F15" s="153">
        <f>E15+E16+E17</f>
        <v>1338102.1599999999</v>
      </c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35836.11</v>
      </c>
      <c r="F16" s="153">
        <v>90000</v>
      </c>
      <c r="G16" s="22">
        <v>57198.32</v>
      </c>
      <c r="H16" s="23" t="s">
        <v>8</v>
      </c>
      <c r="I16" s="24"/>
      <c r="J16" s="25">
        <v>27144.19</v>
      </c>
      <c r="K16" s="26" t="s">
        <v>9</v>
      </c>
      <c r="L16" s="13"/>
    </row>
    <row r="17" spans="2:18">
      <c r="B17" s="352" t="s">
        <v>6</v>
      </c>
      <c r="C17" s="353"/>
      <c r="D17" s="354"/>
      <c r="E17" s="28">
        <f>G16+G17+G18</f>
        <v>181669.65</v>
      </c>
      <c r="F17" s="153">
        <f>F15-F16</f>
        <v>1248102.1599999999</v>
      </c>
      <c r="G17" s="22">
        <v>111416.09</v>
      </c>
      <c r="H17" s="29" t="s">
        <v>10</v>
      </c>
      <c r="I17" s="30"/>
      <c r="J17" s="25">
        <v>23192.57</v>
      </c>
      <c r="K17" s="31" t="s">
        <v>10</v>
      </c>
    </row>
    <row r="18" spans="2:18">
      <c r="B18" s="236" t="s">
        <v>187</v>
      </c>
      <c r="C18" s="237"/>
      <c r="D18" s="238"/>
      <c r="E18" s="28">
        <f>+J22</f>
        <v>14541.8</v>
      </c>
      <c r="F18" s="153"/>
      <c r="G18" s="22">
        <v>13055.24</v>
      </c>
      <c r="H18" s="29" t="s">
        <v>12</v>
      </c>
      <c r="I18" s="30"/>
      <c r="J18" s="25">
        <v>774443.72</v>
      </c>
      <c r="K18" s="31" t="s">
        <v>12</v>
      </c>
    </row>
    <row r="19" spans="2:18">
      <c r="B19" s="379" t="s">
        <v>11</v>
      </c>
      <c r="C19" s="380"/>
      <c r="D19" s="381"/>
      <c r="E19" s="20">
        <f>G29+G31+G30+G28</f>
        <v>13996.779999999968</v>
      </c>
      <c r="F19" s="153"/>
      <c r="G19" s="33"/>
      <c r="H19" s="34"/>
      <c r="I19" s="30"/>
      <c r="J19" s="25">
        <v>295815.92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18713703.66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SUM(E22:E24)</f>
        <v>89869.23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339</v>
      </c>
      <c r="E22" s="190">
        <v>46980</v>
      </c>
      <c r="F22" s="153"/>
      <c r="G22" s="44">
        <v>13819.44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187"/>
      <c r="C23" s="188"/>
      <c r="D23" s="198" t="s">
        <v>162</v>
      </c>
      <c r="E23" s="190">
        <v>27818.25</v>
      </c>
      <c r="F23" s="153"/>
      <c r="G23" s="44">
        <v>22016.67</v>
      </c>
      <c r="H23" s="29" t="s">
        <v>18</v>
      </c>
      <c r="I23" s="30"/>
      <c r="J23" s="25"/>
      <c r="K23" s="31"/>
    </row>
    <row r="24" spans="2:18" ht="15" thickBot="1">
      <c r="B24" s="206"/>
      <c r="C24" s="205"/>
      <c r="D24" s="208" t="s">
        <v>162</v>
      </c>
      <c r="E24" s="190">
        <v>15070.98</v>
      </c>
      <c r="F24" s="153">
        <f>+F17-E25</f>
        <v>1248102.1599999999</v>
      </c>
      <c r="G24" s="51"/>
      <c r="H24" s="34"/>
      <c r="I24" s="30"/>
      <c r="J24" s="210"/>
      <c r="K24" s="53"/>
    </row>
    <row r="25" spans="2:18" ht="15" thickBot="1">
      <c r="B25" s="46" t="s">
        <v>17</v>
      </c>
      <c r="C25" s="47"/>
      <c r="D25" s="48"/>
      <c r="E25" s="234">
        <v>0</v>
      </c>
      <c r="F25" s="153"/>
      <c r="G25" s="331" t="s">
        <v>21</v>
      </c>
      <c r="H25" s="332"/>
      <c r="I25" s="332"/>
      <c r="J25" s="332"/>
      <c r="K25" s="333"/>
      <c r="N25" s="269"/>
      <c r="Q25" s="155"/>
      <c r="R25" s="155"/>
    </row>
    <row r="26" spans="2:18">
      <c r="B26" s="202" t="s">
        <v>163</v>
      </c>
      <c r="C26" s="203"/>
      <c r="D26" s="204"/>
      <c r="E26" s="234">
        <v>25000</v>
      </c>
      <c r="F26" s="153"/>
      <c r="G26" s="54"/>
      <c r="H26" s="55"/>
      <c r="I26" s="56"/>
      <c r="J26" s="211"/>
      <c r="K26" s="58"/>
      <c r="N26" s="269"/>
      <c r="P26" s="155"/>
      <c r="R26" s="155"/>
    </row>
    <row r="27" spans="2:18">
      <c r="B27" s="199" t="s">
        <v>22</v>
      </c>
      <c r="C27" s="200"/>
      <c r="D27" s="201"/>
      <c r="E27" s="49">
        <v>0</v>
      </c>
      <c r="F27" s="221"/>
      <c r="G27" s="377" t="s">
        <v>5</v>
      </c>
      <c r="H27" s="378"/>
      <c r="I27" s="59"/>
      <c r="J27" s="60"/>
      <c r="K27" s="45"/>
    </row>
    <row r="28" spans="2:18">
      <c r="B28" s="199" t="s">
        <v>64</v>
      </c>
      <c r="C28" s="200"/>
      <c r="D28" s="201"/>
      <c r="E28" s="49">
        <v>0</v>
      </c>
      <c r="F28" s="220"/>
      <c r="G28" s="22">
        <f>23975.72-11500-8500</f>
        <v>3975.7200000000012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24</v>
      </c>
      <c r="C29" s="200"/>
      <c r="D29" s="201"/>
      <c r="E29" s="49">
        <v>80000</v>
      </c>
      <c r="F29" s="220"/>
      <c r="G29" s="22">
        <f>155178.49- 154326.09</f>
        <v>852.39999999999418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344" t="s">
        <v>25</v>
      </c>
      <c r="C30" s="345"/>
      <c r="D30" s="346"/>
      <c r="E30" s="49">
        <v>0</v>
      </c>
      <c r="F30" s="220"/>
      <c r="G30" s="67">
        <v>1746.44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63" t="s">
        <v>29</v>
      </c>
      <c r="C31" s="364"/>
      <c r="D31" s="365"/>
      <c r="E31" s="66">
        <v>0</v>
      </c>
      <c r="F31" s="220"/>
      <c r="G31" s="71">
        <f>399677.86-392255.64</f>
        <v>7422.2199999999721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61"/>
      <c r="F32" s="220"/>
      <c r="N32" s="269"/>
      <c r="P32" s="155"/>
      <c r="R32" s="155"/>
    </row>
    <row r="33" spans="5:18">
      <c r="E33" s="61"/>
      <c r="F33" s="219"/>
    </row>
    <row r="34" spans="5:18">
      <c r="E34" s="61"/>
      <c r="F34" s="219"/>
      <c r="H34" s="61"/>
      <c r="I34" s="61"/>
      <c r="J34" s="13"/>
      <c r="K34" s="61"/>
      <c r="L34" s="61"/>
      <c r="M34" s="61"/>
      <c r="N34" s="269"/>
      <c r="P34" s="155"/>
      <c r="R34" s="155"/>
    </row>
    <row r="35" spans="5:18">
      <c r="E35" s="61"/>
      <c r="F35" s="219"/>
      <c r="H35" s="61"/>
      <c r="I35" s="61"/>
      <c r="J35" s="13"/>
      <c r="K35" s="61"/>
      <c r="L35" s="61"/>
      <c r="M35" s="61"/>
    </row>
    <row r="36" spans="5:18" s="61" customFormat="1" ht="15" customHeight="1">
      <c r="E36" s="161" t="s">
        <v>338</v>
      </c>
      <c r="F36" s="197"/>
      <c r="G36" s="8"/>
      <c r="H36" s="13"/>
      <c r="J36" s="13"/>
      <c r="K36" s="83"/>
      <c r="L36" s="88"/>
      <c r="N36" s="272"/>
      <c r="P36" s="273"/>
      <c r="R36" s="273"/>
    </row>
    <row r="37" spans="5:18" s="61" customFormat="1" ht="15" customHeight="1">
      <c r="E37" s="161"/>
      <c r="F37" s="197"/>
      <c r="G37" s="181"/>
      <c r="H37" s="161"/>
      <c r="I37" s="197"/>
      <c r="J37" s="13"/>
      <c r="K37" s="83"/>
      <c r="L37" s="161"/>
      <c r="M37" s="197"/>
    </row>
    <row r="38" spans="5:18" s="61" customFormat="1" ht="15" customHeight="1">
      <c r="E38" s="61" t="s">
        <v>34</v>
      </c>
      <c r="F38" s="197">
        <f>F17</f>
        <v>1248102.1599999999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5:18" s="61" customFormat="1" ht="15" customHeight="1">
      <c r="E39" s="61" t="s">
        <v>35</v>
      </c>
      <c r="F39" s="197">
        <f>+E19</f>
        <v>13996.779999999968</v>
      </c>
      <c r="G39" s="86"/>
      <c r="I39" s="197"/>
      <c r="J39" s="13"/>
      <c r="K39" s="85"/>
      <c r="M39" s="197"/>
    </row>
    <row r="40" spans="5:18" s="61" customFormat="1" ht="15" customHeight="1">
      <c r="E40" s="61" t="s">
        <v>36</v>
      </c>
      <c r="F40" s="197">
        <v>0</v>
      </c>
      <c r="G40" s="86"/>
      <c r="I40" s="214"/>
      <c r="J40" s="13"/>
      <c r="K40" s="87"/>
      <c r="M40" s="197"/>
      <c r="N40" s="272"/>
      <c r="P40" s="273"/>
      <c r="R40" s="273"/>
    </row>
    <row r="41" spans="5:18" s="61" customFormat="1" ht="15" customHeight="1">
      <c r="E41" s="61" t="s">
        <v>37</v>
      </c>
      <c r="F41" s="197">
        <v>0</v>
      </c>
      <c r="G41" s="9"/>
      <c r="I41" s="197"/>
      <c r="J41" s="13"/>
      <c r="M41" s="197"/>
    </row>
    <row r="42" spans="5:18" s="61" customFormat="1" ht="15" customHeight="1">
      <c r="E42" s="163" t="s">
        <v>38</v>
      </c>
      <c r="F42" s="229">
        <f>SUM(F38:F41)</f>
        <v>1262098.94</v>
      </c>
      <c r="G42" s="9"/>
      <c r="I42" s="197"/>
      <c r="J42" s="13"/>
      <c r="M42" s="197"/>
      <c r="N42" s="272"/>
      <c r="P42" s="273"/>
      <c r="R42" s="273"/>
    </row>
    <row r="43" spans="5:18" s="61" customFormat="1" ht="15" customHeight="1">
      <c r="E43" s="165"/>
      <c r="F43" s="230"/>
      <c r="G43" s="9"/>
      <c r="H43" s="163"/>
      <c r="I43" s="229"/>
      <c r="J43" s="13"/>
      <c r="L43" s="163"/>
      <c r="M43" s="229"/>
    </row>
    <row r="44" spans="5:18" s="61" customFormat="1" ht="15" customHeight="1">
      <c r="E44" s="165" t="s">
        <v>152</v>
      </c>
      <c r="F44" s="230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5:18" s="61" customFormat="1" ht="15" customHeight="1">
      <c r="E45" s="165" t="s">
        <v>180</v>
      </c>
      <c r="F45" s="230">
        <v>25000</v>
      </c>
      <c r="G45" s="9"/>
      <c r="H45" s="165"/>
      <c r="I45" s="230"/>
      <c r="J45" s="13"/>
    </row>
    <row r="46" spans="5:18" s="61" customFormat="1" ht="15" customHeight="1">
      <c r="E46" s="165" t="s">
        <v>81</v>
      </c>
      <c r="F46" s="230">
        <v>1750000</v>
      </c>
      <c r="G46" s="9"/>
      <c r="H46" s="91"/>
      <c r="I46" s="219"/>
      <c r="J46" s="13"/>
      <c r="N46" s="272"/>
      <c r="Q46" s="273"/>
      <c r="R46" s="273"/>
    </row>
    <row r="47" spans="5:18" s="61" customFormat="1">
      <c r="E47" s="91" t="s">
        <v>24</v>
      </c>
      <c r="F47" s="219">
        <v>80000</v>
      </c>
      <c r="G47" s="8"/>
      <c r="H47" s="91"/>
      <c r="I47" s="219"/>
      <c r="J47" s="13"/>
      <c r="N47" s="272"/>
      <c r="Q47" s="273"/>
      <c r="R47" s="273"/>
    </row>
    <row r="48" spans="5:18" s="61" customFormat="1">
      <c r="E48" s="91" t="s">
        <v>22</v>
      </c>
      <c r="F48" s="219">
        <v>35000</v>
      </c>
      <c r="G48" s="8"/>
      <c r="H48" s="91"/>
      <c r="I48" s="231"/>
      <c r="J48" s="13"/>
    </row>
    <row r="49" spans="4:13" s="61" customFormat="1">
      <c r="E49" s="91" t="s">
        <v>40</v>
      </c>
      <c r="F49" s="232">
        <v>150000</v>
      </c>
      <c r="G49" s="8"/>
      <c r="H49" s="96"/>
      <c r="I49" s="231"/>
      <c r="J49" s="262"/>
    </row>
    <row r="50" spans="4:13" s="61" customFormat="1">
      <c r="E50" s="96" t="s">
        <v>41</v>
      </c>
      <c r="F50" s="231">
        <f>SUM(F44:F49)</f>
        <v>2165000</v>
      </c>
      <c r="G50" s="82"/>
      <c r="H50" s="83"/>
      <c r="I50" s="228"/>
      <c r="J50" s="13"/>
    </row>
    <row r="51" spans="4:13" s="61" customFormat="1">
      <c r="E51" s="96" t="s">
        <v>42</v>
      </c>
      <c r="F51" s="231">
        <f>F42-F50</f>
        <v>-902901.06</v>
      </c>
      <c r="G51" s="82"/>
      <c r="H51" s="83"/>
      <c r="I51" s="233"/>
      <c r="J51" s="13"/>
      <c r="L51" s="91"/>
      <c r="M51" s="232"/>
    </row>
    <row r="52" spans="4:13" s="61" customFormat="1">
      <c r="F52" s="39"/>
      <c r="G52" s="82"/>
      <c r="H52" s="83"/>
      <c r="I52" s="233"/>
      <c r="J52" s="13"/>
      <c r="L52" s="91"/>
      <c r="M52" s="232"/>
    </row>
    <row r="53" spans="4:13" s="61" customFormat="1">
      <c r="E53" s="83" t="s">
        <v>43</v>
      </c>
      <c r="F53" s="151">
        <f>43800+180000</f>
        <v>223800</v>
      </c>
      <c r="G53" s="82"/>
      <c r="H53" s="83"/>
      <c r="I53" s="233"/>
      <c r="J53" s="13"/>
      <c r="L53" s="96"/>
      <c r="M53" s="231"/>
    </row>
    <row r="54" spans="4:13" s="61" customFormat="1">
      <c r="E54" s="83" t="s">
        <v>44</v>
      </c>
      <c r="F54" s="151">
        <v>365000</v>
      </c>
      <c r="G54" s="82"/>
      <c r="H54" s="96"/>
      <c r="I54" s="228"/>
      <c r="J54" s="13"/>
      <c r="L54" s="96"/>
      <c r="M54" s="233"/>
    </row>
    <row r="55" spans="4:13" s="61" customFormat="1">
      <c r="E55" s="83" t="s">
        <v>45</v>
      </c>
      <c r="F55" s="95">
        <v>0</v>
      </c>
      <c r="G55" s="82"/>
      <c r="H55" s="83"/>
      <c r="I55" s="233"/>
      <c r="J55" s="13"/>
    </row>
    <row r="56" spans="4:13" s="61" customFormat="1">
      <c r="E56" s="83" t="s">
        <v>205</v>
      </c>
      <c r="F56" s="95">
        <v>0</v>
      </c>
      <c r="G56"/>
      <c r="H56" s="96"/>
      <c r="I56" s="219"/>
      <c r="J56" s="13"/>
      <c r="L56" s="83"/>
      <c r="M56" s="228"/>
    </row>
    <row r="57" spans="4:13">
      <c r="E57" s="83" t="s">
        <v>206</v>
      </c>
      <c r="F57" s="95">
        <v>0</v>
      </c>
      <c r="H57" s="61"/>
      <c r="I57" s="61"/>
      <c r="J57" s="13"/>
      <c r="K57" s="61"/>
      <c r="L57" s="61"/>
      <c r="M57" s="61"/>
    </row>
    <row r="58" spans="4:13">
      <c r="E58" s="96" t="s">
        <v>46</v>
      </c>
      <c r="F58" s="99">
        <f>SUM(F53:F57)</f>
        <v>588800</v>
      </c>
      <c r="H58" s="61"/>
      <c r="I58" s="61"/>
      <c r="J58" s="13"/>
      <c r="K58" s="61"/>
      <c r="L58" s="61"/>
      <c r="M58" s="61"/>
    </row>
    <row r="59" spans="4:13">
      <c r="E59" s="83"/>
      <c r="F59" s="151"/>
    </row>
    <row r="60" spans="4:13">
      <c r="E60" s="96" t="s">
        <v>47</v>
      </c>
      <c r="F60" s="99">
        <f>F51-F58</f>
        <v>-1491701.06</v>
      </c>
      <c r="G60" s="8"/>
    </row>
    <row r="61" spans="4:13">
      <c r="D61" s="247" t="s">
        <v>192</v>
      </c>
      <c r="E61" s="61"/>
      <c r="F61" s="219"/>
      <c r="G61" s="8"/>
    </row>
    <row r="62" spans="4:13">
      <c r="D62" s="247" t="s">
        <v>194</v>
      </c>
      <c r="E62" s="61"/>
      <c r="F62" s="219"/>
      <c r="G62" s="8"/>
    </row>
    <row r="63" spans="4:13">
      <c r="D63" s="8" t="s">
        <v>9</v>
      </c>
      <c r="E63" s="8"/>
      <c r="G63" s="8"/>
    </row>
    <row r="64" spans="4:13">
      <c r="D64" s="8" t="s">
        <v>195</v>
      </c>
      <c r="E64" s="8"/>
      <c r="G64" s="124">
        <f>SUM(E70:F70)</f>
        <v>0</v>
      </c>
    </row>
    <row r="65" spans="1:7">
      <c r="D65" s="8" t="s">
        <v>188</v>
      </c>
      <c r="E65" s="247"/>
      <c r="F65" s="275"/>
      <c r="G65" s="8"/>
    </row>
    <row r="66" spans="1:7">
      <c r="D66" s="8"/>
      <c r="E66" s="247"/>
      <c r="F66" s="286"/>
    </row>
    <row r="67" spans="1:7">
      <c r="E67" s="276"/>
      <c r="F67" s="287"/>
    </row>
    <row r="68" spans="1:7">
      <c r="E68" s="276"/>
      <c r="F68" s="287"/>
    </row>
    <row r="69" spans="1:7">
      <c r="E69" s="276"/>
      <c r="F69" s="287"/>
    </row>
    <row r="70" spans="1:7">
      <c r="E70" s="127"/>
      <c r="F70" s="287"/>
    </row>
    <row r="71" spans="1:7">
      <c r="E71" s="79"/>
    </row>
    <row r="72" spans="1:7">
      <c r="A72" s="268"/>
      <c r="E72" s="79"/>
    </row>
    <row r="73" spans="1:7">
      <c r="E73" s="79"/>
    </row>
    <row r="74" spans="1:7">
      <c r="E74" s="79"/>
    </row>
    <row r="75" spans="1:7">
      <c r="B75" s="235"/>
      <c r="E75" s="79"/>
    </row>
    <row r="76" spans="1:7">
      <c r="E76" s="79"/>
    </row>
    <row r="77" spans="1:7">
      <c r="E77" s="277"/>
    </row>
    <row r="78" spans="1:7">
      <c r="A78" s="269"/>
      <c r="C78" s="155"/>
      <c r="E78" s="79"/>
    </row>
    <row r="79" spans="1:7">
      <c r="E79" s="277"/>
    </row>
    <row r="80" spans="1:7">
      <c r="A80" s="269"/>
      <c r="C80" s="155"/>
      <c r="E80" s="79"/>
    </row>
    <row r="81" spans="1:5">
      <c r="E81" s="277"/>
    </row>
    <row r="82" spans="1:5">
      <c r="A82" s="269"/>
      <c r="C82" s="155"/>
      <c r="E82" s="79"/>
    </row>
    <row r="83" spans="1:5">
      <c r="E83" s="277"/>
    </row>
    <row r="84" spans="1:5">
      <c r="A84" s="269"/>
      <c r="C84" s="155"/>
      <c r="E84" s="79"/>
    </row>
    <row r="85" spans="1:5">
      <c r="E85" s="277"/>
    </row>
    <row r="86" spans="1:5">
      <c r="A86" s="269"/>
      <c r="C86" s="155"/>
      <c r="E86" s="79"/>
    </row>
    <row r="87" spans="1:5">
      <c r="E87" s="277"/>
    </row>
    <row r="88" spans="1:5">
      <c r="A88" s="269"/>
      <c r="C88" s="155"/>
      <c r="E88" s="79"/>
    </row>
    <row r="89" spans="1:5">
      <c r="E89" s="277"/>
    </row>
    <row r="90" spans="1:5">
      <c r="A90" s="269"/>
      <c r="C90" s="155"/>
      <c r="E90" s="79"/>
    </row>
    <row r="91" spans="1:5">
      <c r="E91" s="277"/>
    </row>
    <row r="92" spans="1:5">
      <c r="A92" s="269"/>
      <c r="C92" s="155"/>
      <c r="E92" s="79"/>
    </row>
    <row r="93" spans="1:5">
      <c r="E93" s="277"/>
    </row>
    <row r="94" spans="1:5">
      <c r="A94" s="269"/>
      <c r="C94" s="155"/>
      <c r="E94" s="79"/>
    </row>
    <row r="95" spans="1:5">
      <c r="E95" s="277"/>
    </row>
    <row r="96" spans="1:5">
      <c r="A96" s="269"/>
      <c r="C96" s="155"/>
      <c r="E96" s="79"/>
    </row>
    <row r="97" spans="1:5">
      <c r="E97" s="277"/>
    </row>
    <row r="98" spans="1:5">
      <c r="A98" s="269"/>
      <c r="C98" s="155"/>
      <c r="E98" s="79"/>
    </row>
    <row r="99" spans="1:5">
      <c r="E99" s="277"/>
    </row>
    <row r="100" spans="1:5">
      <c r="A100" s="269"/>
      <c r="C100" s="155"/>
      <c r="E100" s="79"/>
    </row>
    <row r="101" spans="1:5">
      <c r="E101" s="277"/>
    </row>
    <row r="102" spans="1:5">
      <c r="A102" s="269"/>
      <c r="C102" s="155"/>
      <c r="E102" s="79"/>
    </row>
    <row r="103" spans="1:5">
      <c r="E103" s="277"/>
    </row>
    <row r="104" spans="1:5">
      <c r="A104" s="269"/>
      <c r="C104" s="155"/>
      <c r="E104" s="79"/>
    </row>
    <row r="105" spans="1:5">
      <c r="E105" s="277"/>
    </row>
    <row r="106" spans="1:5">
      <c r="A106" s="269"/>
      <c r="C106" s="155"/>
      <c r="E106" s="79"/>
    </row>
    <row r="107" spans="1:5">
      <c r="E107" s="277"/>
    </row>
    <row r="108" spans="1:5">
      <c r="A108" s="269"/>
      <c r="C108" s="155"/>
      <c r="E108" s="79"/>
    </row>
    <row r="109" spans="1:5">
      <c r="E109" s="277"/>
    </row>
    <row r="110" spans="1:5">
      <c r="A110" s="269"/>
      <c r="C110" s="155"/>
      <c r="E110" s="79"/>
    </row>
    <row r="111" spans="1:5">
      <c r="E111" s="277"/>
    </row>
    <row r="112" spans="1:5">
      <c r="A112" s="269"/>
      <c r="C112" s="155"/>
      <c r="E112" s="79"/>
    </row>
    <row r="113" spans="1:5">
      <c r="E113" s="277"/>
    </row>
    <row r="114" spans="1:5">
      <c r="A114" s="269"/>
      <c r="C114" s="155"/>
      <c r="E114" s="79"/>
    </row>
    <row r="115" spans="1:5">
      <c r="E115" s="277"/>
    </row>
    <row r="116" spans="1:5">
      <c r="A116" s="269"/>
      <c r="C116" s="155"/>
      <c r="E116" s="79"/>
    </row>
    <row r="117" spans="1:5">
      <c r="E117" s="277"/>
    </row>
    <row r="118" spans="1:5">
      <c r="A118" s="269"/>
      <c r="C118" s="155"/>
      <c r="E118" s="79"/>
    </row>
    <row r="119" spans="1:5">
      <c r="E119" s="277"/>
    </row>
    <row r="120" spans="1:5">
      <c r="A120" s="269"/>
      <c r="C120" s="155"/>
      <c r="E120" s="79"/>
    </row>
    <row r="121" spans="1:5">
      <c r="E121" s="277"/>
    </row>
    <row r="122" spans="1:5">
      <c r="A122" s="269"/>
      <c r="C122" s="155"/>
    </row>
    <row r="123" spans="1:5">
      <c r="E123" s="155"/>
    </row>
    <row r="124" spans="1:5">
      <c r="A124" s="269"/>
      <c r="C124" s="155"/>
    </row>
    <row r="125" spans="1:5">
      <c r="E125" s="155"/>
    </row>
    <row r="126" spans="1:5">
      <c r="A126" s="269"/>
      <c r="C126" s="155"/>
    </row>
    <row r="127" spans="1:5">
      <c r="E127" s="155"/>
    </row>
    <row r="128" spans="1:5">
      <c r="A128" s="269"/>
      <c r="C128" s="155"/>
    </row>
    <row r="129" spans="1:5">
      <c r="E129" s="155"/>
    </row>
    <row r="130" spans="1:5">
      <c r="A130" s="269"/>
      <c r="C130" s="155"/>
    </row>
    <row r="131" spans="1:5">
      <c r="E131" s="155"/>
    </row>
    <row r="132" spans="1:5">
      <c r="A132" s="269"/>
      <c r="C132" s="155"/>
    </row>
    <row r="133" spans="1:5">
      <c r="E133" s="155"/>
    </row>
    <row r="134" spans="1:5">
      <c r="A134" s="269"/>
      <c r="C134" s="155"/>
    </row>
    <row r="135" spans="1:5">
      <c r="E135" s="155"/>
    </row>
    <row r="136" spans="1:5">
      <c r="A136" s="269"/>
      <c r="C136" s="155"/>
    </row>
    <row r="137" spans="1:5">
      <c r="E137" s="155"/>
    </row>
    <row r="138" spans="1:5">
      <c r="A138" s="269"/>
      <c r="C138" s="155"/>
    </row>
    <row r="139" spans="1:5">
      <c r="E139" s="155"/>
    </row>
    <row r="140" spans="1:5">
      <c r="A140" s="269"/>
      <c r="C140" s="155"/>
    </row>
    <row r="141" spans="1:5">
      <c r="E141" s="155"/>
    </row>
    <row r="142" spans="1:5">
      <c r="A142" s="269"/>
      <c r="C142" s="155"/>
    </row>
    <row r="143" spans="1:5">
      <c r="E143" s="155"/>
    </row>
    <row r="144" spans="1:5">
      <c r="A144" s="269"/>
      <c r="C144" s="155"/>
    </row>
    <row r="145" spans="1:5">
      <c r="E145" s="155"/>
    </row>
    <row r="146" spans="1:5">
      <c r="A146" s="269"/>
      <c r="C146" s="155"/>
    </row>
    <row r="147" spans="1:5">
      <c r="E147" s="155"/>
    </row>
    <row r="148" spans="1:5">
      <c r="A148" s="269"/>
      <c r="C148" s="155"/>
    </row>
    <row r="149" spans="1:5">
      <c r="E149" s="155"/>
    </row>
    <row r="150" spans="1:5">
      <c r="A150" s="269"/>
      <c r="C150" s="155"/>
    </row>
    <row r="151" spans="1:5">
      <c r="E151" s="155"/>
    </row>
    <row r="152" spans="1:5">
      <c r="A152" s="269"/>
      <c r="C152" s="155"/>
    </row>
    <row r="153" spans="1:5">
      <c r="E153" s="155"/>
    </row>
    <row r="154" spans="1:5">
      <c r="A154" s="269"/>
      <c r="C154" s="155"/>
    </row>
    <row r="155" spans="1:5">
      <c r="E155" s="155"/>
    </row>
    <row r="156" spans="1:5">
      <c r="A156" s="269"/>
      <c r="C156" s="155"/>
    </row>
    <row r="157" spans="1:5">
      <c r="E157" s="155"/>
    </row>
    <row r="158" spans="1:5">
      <c r="A158" s="269"/>
      <c r="C158" s="155"/>
    </row>
    <row r="159" spans="1:5">
      <c r="E159" s="155"/>
    </row>
    <row r="160" spans="1:5">
      <c r="A160" s="269"/>
      <c r="C160" s="155"/>
    </row>
    <row r="161" spans="1:5">
      <c r="E161" s="155"/>
    </row>
    <row r="162" spans="1:5">
      <c r="A162" s="269"/>
      <c r="C162" s="155"/>
    </row>
    <row r="163" spans="1:5">
      <c r="E163" s="155"/>
    </row>
    <row r="164" spans="1:5">
      <c r="A164" s="269"/>
      <c r="C164" s="155"/>
    </row>
    <row r="165" spans="1:5">
      <c r="E165" s="155"/>
    </row>
    <row r="166" spans="1:5">
      <c r="A166" s="269"/>
      <c r="C166" s="155"/>
    </row>
    <row r="167" spans="1:5">
      <c r="E167" s="155"/>
    </row>
    <row r="168" spans="1:5">
      <c r="A168" s="269"/>
      <c r="C168" s="155"/>
    </row>
    <row r="169" spans="1:5">
      <c r="E169" s="155"/>
    </row>
    <row r="170" spans="1:5">
      <c r="A170" s="269"/>
      <c r="C170" s="155"/>
    </row>
    <row r="171" spans="1:5">
      <c r="E171" s="155"/>
    </row>
    <row r="172" spans="1:5">
      <c r="A172" s="269"/>
      <c r="C172" s="155"/>
    </row>
    <row r="173" spans="1:5">
      <c r="E173" s="155"/>
    </row>
    <row r="174" spans="1:5">
      <c r="A174" s="269"/>
      <c r="C174" s="155"/>
    </row>
    <row r="175" spans="1:5">
      <c r="E175" s="155"/>
    </row>
    <row r="176" spans="1:5">
      <c r="A176" s="269"/>
      <c r="C176" s="155"/>
    </row>
    <row r="177" spans="1:5">
      <c r="E177" s="155"/>
    </row>
    <row r="178" spans="1:5">
      <c r="A178" s="269"/>
      <c r="C178" s="155"/>
    </row>
    <row r="179" spans="1:5">
      <c r="E179" s="155"/>
    </row>
    <row r="180" spans="1:5">
      <c r="A180" s="269"/>
      <c r="C180" s="155"/>
    </row>
    <row r="181" spans="1:5">
      <c r="E181" s="155"/>
    </row>
    <row r="182" spans="1:5">
      <c r="A182" s="269"/>
      <c r="C182" s="155"/>
    </row>
    <row r="183" spans="1:5">
      <c r="E183" s="155"/>
    </row>
    <row r="184" spans="1:5">
      <c r="A184" s="269"/>
      <c r="C184" s="155"/>
    </row>
    <row r="185" spans="1:5">
      <c r="E185" s="155"/>
    </row>
    <row r="186" spans="1:5">
      <c r="A186" s="269"/>
      <c r="C186" s="155"/>
    </row>
    <row r="187" spans="1:5">
      <c r="E187" s="155"/>
    </row>
    <row r="188" spans="1:5">
      <c r="A188" s="269"/>
      <c r="C188" s="155"/>
    </row>
    <row r="189" spans="1:5">
      <c r="E189" s="155"/>
    </row>
    <row r="190" spans="1:5">
      <c r="A190" s="269"/>
      <c r="C190" s="155"/>
    </row>
    <row r="191" spans="1:5">
      <c r="E191" s="155"/>
    </row>
    <row r="192" spans="1:5">
      <c r="A192" s="269"/>
      <c r="C192" s="155"/>
    </row>
    <row r="193" spans="1:5">
      <c r="E193" s="155"/>
    </row>
    <row r="194" spans="1:5">
      <c r="A194" s="269"/>
      <c r="C194" s="155"/>
    </row>
    <row r="195" spans="1:5">
      <c r="E195" s="155"/>
    </row>
    <row r="196" spans="1:5">
      <c r="A196" s="269"/>
      <c r="C196" s="155"/>
    </row>
    <row r="197" spans="1:5">
      <c r="E197" s="155"/>
    </row>
    <row r="198" spans="1:5">
      <c r="A198" s="269"/>
      <c r="D198" s="155"/>
    </row>
    <row r="199" spans="1:5">
      <c r="E199" s="155"/>
    </row>
    <row r="200" spans="1:5">
      <c r="A200" s="269"/>
      <c r="C200" s="155"/>
    </row>
    <row r="201" spans="1:5">
      <c r="E201" s="155"/>
    </row>
    <row r="202" spans="1:5">
      <c r="A202" s="269"/>
      <c r="C202" s="155"/>
    </row>
    <row r="203" spans="1:5">
      <c r="E203" s="155"/>
    </row>
    <row r="204" spans="1:5">
      <c r="A204" s="269"/>
      <c r="C204" s="155"/>
    </row>
    <row r="205" spans="1:5">
      <c r="E205" s="155"/>
    </row>
    <row r="206" spans="1:5">
      <c r="A206" s="269"/>
      <c r="C206" s="155"/>
    </row>
    <row r="207" spans="1:5">
      <c r="E207" s="155"/>
    </row>
    <row r="208" spans="1:5">
      <c r="A208" s="269"/>
      <c r="C208" s="155"/>
    </row>
  </sheetData>
  <mergeCells count="16"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71C1F-B2D6-47B6-8179-5156A82218C9}">
  <dimension ref="A6:R208"/>
  <sheetViews>
    <sheetView showGridLines="0" topLeftCell="A12" workbookViewId="0">
      <selection activeCell="A12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41.54296875" bestFit="1" customWidth="1"/>
  </cols>
  <sheetData>
    <row r="6" spans="1:12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2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2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2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2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2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2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2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  <c r="L13" s="13"/>
    </row>
    <row r="14" spans="1:12" ht="15" thickBot="1">
      <c r="A14" s="1"/>
      <c r="B14" s="334" t="s">
        <v>3</v>
      </c>
      <c r="C14" s="335"/>
      <c r="D14" s="336"/>
      <c r="E14" s="17">
        <f>SUM(E15:E17)</f>
        <v>1337805.6500000004</v>
      </c>
      <c r="F14" s="153"/>
      <c r="G14" s="331" t="s">
        <v>4</v>
      </c>
      <c r="H14" s="332"/>
      <c r="I14" s="332"/>
      <c r="J14" s="332"/>
      <c r="K14" s="333"/>
      <c r="L14" s="19"/>
    </row>
    <row r="15" spans="1:12">
      <c r="A15" s="1"/>
      <c r="B15" s="337" t="s">
        <v>5</v>
      </c>
      <c r="C15" s="338"/>
      <c r="D15" s="339"/>
      <c r="E15" s="20">
        <f>J16+J17+J18+J19</f>
        <v>1128323.9100000001</v>
      </c>
      <c r="F15" s="153">
        <f>E15+E16+E17</f>
        <v>1337805.6500000004</v>
      </c>
      <c r="G15" s="340" t="s">
        <v>6</v>
      </c>
      <c r="H15" s="341"/>
      <c r="I15" s="21"/>
      <c r="J15" s="342" t="s">
        <v>5</v>
      </c>
      <c r="K15" s="343"/>
      <c r="L15" s="13"/>
    </row>
    <row r="16" spans="1:12">
      <c r="A16" s="1"/>
      <c r="B16" s="349" t="s">
        <v>7</v>
      </c>
      <c r="C16" s="350"/>
      <c r="D16" s="351"/>
      <c r="E16" s="20">
        <f>G22+G23</f>
        <v>35836.11</v>
      </c>
      <c r="F16" s="153">
        <v>90000</v>
      </c>
      <c r="G16" s="22">
        <v>57198.32</v>
      </c>
      <c r="H16" s="23" t="s">
        <v>8</v>
      </c>
      <c r="I16" s="24"/>
      <c r="J16" s="25">
        <v>55997.62</v>
      </c>
      <c r="K16" s="26" t="s">
        <v>9</v>
      </c>
      <c r="L16" s="13"/>
    </row>
    <row r="17" spans="2:18">
      <c r="B17" s="352" t="s">
        <v>6</v>
      </c>
      <c r="C17" s="353"/>
      <c r="D17" s="354"/>
      <c r="E17" s="28">
        <f>G16+G17+G18</f>
        <v>173645.63</v>
      </c>
      <c r="F17" s="150">
        <f>43000+561.4+10093+38073</f>
        <v>91727.4</v>
      </c>
      <c r="G17" s="22">
        <v>103392.07</v>
      </c>
      <c r="H17" s="29" t="s">
        <v>10</v>
      </c>
      <c r="I17" s="30"/>
      <c r="J17" s="25">
        <v>59211.65</v>
      </c>
      <c r="K17" s="31" t="s">
        <v>10</v>
      </c>
    </row>
    <row r="18" spans="2:18">
      <c r="B18" s="236" t="s">
        <v>187</v>
      </c>
      <c r="C18" s="237"/>
      <c r="D18" s="238"/>
      <c r="E18" s="28">
        <f>+J22</f>
        <v>14541.8</v>
      </c>
      <c r="F18" s="150">
        <v>72238.58</v>
      </c>
      <c r="G18" s="22">
        <v>13055.24</v>
      </c>
      <c r="H18" s="29" t="s">
        <v>12</v>
      </c>
      <c r="I18" s="30"/>
      <c r="J18" s="25">
        <v>736096.13</v>
      </c>
      <c r="K18" s="31" t="s">
        <v>12</v>
      </c>
    </row>
    <row r="19" spans="2:18">
      <c r="B19" s="379" t="s">
        <v>11</v>
      </c>
      <c r="C19" s="380"/>
      <c r="D19" s="381"/>
      <c r="E19" s="20">
        <f>G29+G31+G30+G28</f>
        <v>14149.28000000003</v>
      </c>
      <c r="F19" s="150">
        <f>+F18-G18</f>
        <v>59183.340000000004</v>
      </c>
      <c r="G19" s="33"/>
      <c r="H19" s="34"/>
      <c r="I19" s="30"/>
      <c r="J19" s="25">
        <v>277018.51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18764998.170000002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SUM(E22:E24)</f>
        <v>93764.13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118</v>
      </c>
      <c r="E22" s="190">
        <v>36019.08</v>
      </c>
      <c r="F22" s="153"/>
      <c r="G22" s="44">
        <v>13819.44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187"/>
      <c r="C23" s="188"/>
      <c r="D23" s="198" t="s">
        <v>118</v>
      </c>
      <c r="E23" s="190">
        <v>28853.43</v>
      </c>
      <c r="F23" s="153"/>
      <c r="G23" s="44">
        <v>22016.67</v>
      </c>
      <c r="H23" s="29" t="s">
        <v>18</v>
      </c>
      <c r="I23" s="30"/>
      <c r="J23" s="25"/>
      <c r="K23" s="31"/>
    </row>
    <row r="24" spans="2:18" ht="15" thickBot="1">
      <c r="B24" s="206"/>
      <c r="C24" s="205"/>
      <c r="D24" s="208" t="s">
        <v>118</v>
      </c>
      <c r="E24" s="190">
        <v>28891.62</v>
      </c>
      <c r="F24" s="153">
        <f>+F17-E25</f>
        <v>-35346.020000000004</v>
      </c>
      <c r="G24" s="51"/>
      <c r="H24" s="34"/>
      <c r="I24" s="30"/>
      <c r="J24" s="210"/>
      <c r="K24" s="53"/>
    </row>
    <row r="25" spans="2:18" ht="15" thickBot="1">
      <c r="B25" s="46" t="s">
        <v>17</v>
      </c>
      <c r="C25" s="47"/>
      <c r="D25" s="48"/>
      <c r="E25" s="234">
        <f>38073+89000.42</f>
        <v>127073.42</v>
      </c>
      <c r="F25" s="288">
        <f>SUM(E25:E31)</f>
        <v>177073.41999999998</v>
      </c>
      <c r="G25" s="331" t="s">
        <v>21</v>
      </c>
      <c r="H25" s="332"/>
      <c r="I25" s="332"/>
      <c r="J25" s="332"/>
      <c r="K25" s="333"/>
      <c r="N25" s="269"/>
      <c r="Q25" s="155"/>
      <c r="R25" s="155"/>
    </row>
    <row r="26" spans="2:18">
      <c r="B26" s="202" t="s">
        <v>163</v>
      </c>
      <c r="C26" s="203"/>
      <c r="D26" s="204"/>
      <c r="E26" s="234">
        <v>0</v>
      </c>
      <c r="F26" s="153">
        <f>+F24-F25</f>
        <v>-212419.44</v>
      </c>
      <c r="G26" s="54"/>
      <c r="H26" s="55"/>
      <c r="I26" s="56"/>
      <c r="J26" s="211"/>
      <c r="K26" s="58"/>
      <c r="N26" s="269"/>
      <c r="P26" s="155"/>
      <c r="R26" s="155"/>
    </row>
    <row r="27" spans="2:18">
      <c r="B27" s="199" t="s">
        <v>22</v>
      </c>
      <c r="C27" s="200"/>
      <c r="D27" s="201"/>
      <c r="E27" s="49">
        <v>50000</v>
      </c>
      <c r="F27" s="221"/>
      <c r="G27" s="377" t="s">
        <v>5</v>
      </c>
      <c r="H27" s="378"/>
      <c r="I27" s="59"/>
      <c r="J27" s="60"/>
      <c r="K27" s="45"/>
    </row>
    <row r="28" spans="2:18">
      <c r="B28" s="199" t="s">
        <v>64</v>
      </c>
      <c r="C28" s="200"/>
      <c r="D28" s="201"/>
      <c r="E28" s="49">
        <v>0</v>
      </c>
      <c r="F28" s="220"/>
      <c r="G28" s="22">
        <f>23981.5-11500-8500</f>
        <v>3981.5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24</v>
      </c>
      <c r="C29" s="200"/>
      <c r="D29" s="201"/>
      <c r="E29" s="49">
        <v>0</v>
      </c>
      <c r="F29" s="220"/>
      <c r="G29" s="22">
        <f>155221.45- 154326.09</f>
        <v>895.36000000001513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344" t="s">
        <v>25</v>
      </c>
      <c r="C30" s="345"/>
      <c r="D30" s="346"/>
      <c r="E30" s="49">
        <v>0</v>
      </c>
      <c r="F30" s="220"/>
      <c r="G30" s="67">
        <v>1746.78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63" t="s">
        <v>29</v>
      </c>
      <c r="C31" s="364"/>
      <c r="D31" s="365"/>
      <c r="E31" s="66">
        <v>0</v>
      </c>
      <c r="F31" s="220"/>
      <c r="G31" s="71">
        <f>399781.28-392255.64</f>
        <v>7525.640000000014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61"/>
      <c r="F32" s="220"/>
      <c r="N32" s="269"/>
      <c r="P32" s="155"/>
      <c r="R32" s="155"/>
    </row>
    <row r="33" spans="5:18">
      <c r="E33" s="61"/>
      <c r="F33" s="220"/>
    </row>
    <row r="34" spans="5:18">
      <c r="E34" s="61"/>
      <c r="F34" s="220"/>
      <c r="H34" s="61"/>
      <c r="I34" s="61"/>
      <c r="J34" s="13"/>
      <c r="K34" s="61"/>
      <c r="L34" s="61"/>
      <c r="M34" s="61"/>
      <c r="N34" s="269"/>
      <c r="P34" s="155"/>
      <c r="R34" s="155"/>
    </row>
    <row r="35" spans="5:18">
      <c r="E35" s="61"/>
      <c r="F35" s="220"/>
      <c r="H35" s="61"/>
      <c r="I35" s="61"/>
      <c r="J35" s="13"/>
      <c r="K35" s="61"/>
      <c r="L35" s="61"/>
      <c r="M35" s="61"/>
    </row>
    <row r="36" spans="5:18" s="61" customFormat="1" ht="15" customHeight="1">
      <c r="E36" s="181" t="s">
        <v>338</v>
      </c>
      <c r="F36" s="222"/>
      <c r="G36" s="8"/>
      <c r="H36" s="13"/>
      <c r="J36" s="13"/>
      <c r="K36" s="83"/>
      <c r="L36" s="88"/>
      <c r="N36" s="272"/>
      <c r="P36" s="273"/>
      <c r="R36" s="273"/>
    </row>
    <row r="37" spans="5:18" s="61" customFormat="1" ht="15" customHeight="1">
      <c r="E37" s="181"/>
      <c r="F37" s="222"/>
      <c r="G37" s="181"/>
      <c r="H37" s="161"/>
      <c r="I37" s="197"/>
      <c r="J37" s="13"/>
      <c r="K37" s="83"/>
      <c r="L37" s="161"/>
      <c r="M37" s="197"/>
    </row>
    <row r="38" spans="5:18" s="61" customFormat="1" ht="15" customHeight="1">
      <c r="E38" s="8" t="s">
        <v>34</v>
      </c>
      <c r="F38" s="222">
        <f>F17</f>
        <v>91727.4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5:18" s="61" customFormat="1" ht="15" customHeight="1">
      <c r="E39" s="8" t="s">
        <v>35</v>
      </c>
      <c r="F39" s="222">
        <f>+E19</f>
        <v>14149.28000000003</v>
      </c>
      <c r="G39" s="86"/>
      <c r="I39" s="197"/>
      <c r="J39" s="13"/>
      <c r="K39" s="85"/>
      <c r="M39" s="197"/>
    </row>
    <row r="40" spans="5:18" s="61" customFormat="1" ht="15" customHeight="1">
      <c r="E40" s="8" t="s">
        <v>36</v>
      </c>
      <c r="F40" s="222">
        <v>495000</v>
      </c>
      <c r="G40" s="86"/>
      <c r="I40" s="214"/>
      <c r="J40" s="13"/>
      <c r="K40" s="87"/>
      <c r="M40" s="197"/>
      <c r="N40" s="272"/>
      <c r="P40" s="273"/>
      <c r="R40" s="273"/>
    </row>
    <row r="41" spans="5:18" s="61" customFormat="1" ht="15" customHeight="1">
      <c r="E41" s="8" t="s">
        <v>37</v>
      </c>
      <c r="F41" s="222">
        <v>0</v>
      </c>
      <c r="G41" s="9"/>
      <c r="I41" s="197"/>
      <c r="J41" s="13"/>
      <c r="M41" s="197"/>
    </row>
    <row r="42" spans="5:18" s="61" customFormat="1" ht="15" customHeight="1">
      <c r="E42" s="182" t="s">
        <v>38</v>
      </c>
      <c r="F42" s="223">
        <f>SUM(F38:F41)</f>
        <v>600876.68000000005</v>
      </c>
      <c r="G42" s="9"/>
      <c r="I42" s="197"/>
      <c r="J42" s="13"/>
      <c r="M42" s="197"/>
      <c r="N42" s="272"/>
      <c r="P42" s="273"/>
      <c r="R42" s="273"/>
    </row>
    <row r="43" spans="5:18" s="61" customFormat="1" ht="15" customHeight="1">
      <c r="E43" s="183"/>
      <c r="F43" s="224"/>
      <c r="G43" s="9"/>
      <c r="H43" s="163"/>
      <c r="I43" s="229"/>
      <c r="J43" s="13"/>
      <c r="L43" s="163"/>
      <c r="M43" s="229"/>
    </row>
    <row r="44" spans="5:18" s="61" customFormat="1" ht="15" customHeight="1">
      <c r="E44" s="183" t="s">
        <v>152</v>
      </c>
      <c r="F44" s="224">
        <v>125000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5:18" s="61" customFormat="1" ht="15" customHeight="1">
      <c r="E45" s="183" t="s">
        <v>180</v>
      </c>
      <c r="F45" s="224">
        <v>0</v>
      </c>
      <c r="G45" s="9"/>
      <c r="H45" s="165"/>
      <c r="I45" s="230"/>
      <c r="J45" s="13"/>
    </row>
    <row r="46" spans="5:18" s="61" customFormat="1" ht="15" customHeight="1">
      <c r="E46" s="183" t="s">
        <v>81</v>
      </c>
      <c r="F46" s="224">
        <v>1750000</v>
      </c>
      <c r="G46" s="9"/>
      <c r="H46" s="91"/>
      <c r="I46" s="219"/>
      <c r="J46" s="13"/>
      <c r="N46" s="272"/>
      <c r="Q46" s="273"/>
      <c r="R46" s="273"/>
    </row>
    <row r="47" spans="5:18" s="61" customFormat="1">
      <c r="E47" s="116" t="s">
        <v>24</v>
      </c>
      <c r="F47" s="220">
        <v>0</v>
      </c>
      <c r="G47" s="8"/>
      <c r="H47" s="91"/>
      <c r="I47" s="219"/>
      <c r="J47" s="13"/>
      <c r="N47" s="272"/>
      <c r="Q47" s="273"/>
      <c r="R47" s="273"/>
    </row>
    <row r="48" spans="5:18" s="61" customFormat="1">
      <c r="E48" s="116" t="s">
        <v>22</v>
      </c>
      <c r="F48" s="220">
        <v>35000</v>
      </c>
      <c r="G48" s="8"/>
      <c r="H48" s="91"/>
      <c r="I48" s="231"/>
      <c r="J48" s="13"/>
    </row>
    <row r="49" spans="4:13" s="61" customFormat="1">
      <c r="E49" s="116" t="s">
        <v>40</v>
      </c>
      <c r="F49" s="226">
        <v>150000</v>
      </c>
      <c r="G49" s="8"/>
      <c r="H49" s="96"/>
      <c r="I49" s="231"/>
      <c r="J49" s="262"/>
    </row>
    <row r="50" spans="4:13" s="61" customFormat="1">
      <c r="E50" s="118" t="s">
        <v>41</v>
      </c>
      <c r="F50" s="225">
        <f>SUM(F44:F49)</f>
        <v>2060000</v>
      </c>
      <c r="G50" s="82"/>
      <c r="H50" s="83"/>
      <c r="I50" s="228"/>
      <c r="J50" s="13"/>
    </row>
    <row r="51" spans="4:13" s="61" customFormat="1">
      <c r="E51" s="118" t="s">
        <v>42</v>
      </c>
      <c r="F51" s="225">
        <f>F42-F50</f>
        <v>-1459123.3199999998</v>
      </c>
      <c r="G51" s="82"/>
      <c r="H51" s="83"/>
      <c r="I51" s="233"/>
      <c r="J51" s="13"/>
      <c r="L51" s="91"/>
      <c r="M51" s="232"/>
    </row>
    <row r="52" spans="4:13" s="61" customFormat="1">
      <c r="E52" s="8"/>
      <c r="F52" s="154"/>
      <c r="G52" s="82"/>
      <c r="H52" s="83"/>
      <c r="I52" s="233"/>
      <c r="J52" s="13"/>
      <c r="L52" s="91"/>
      <c r="M52" s="232"/>
    </row>
    <row r="53" spans="4:13" s="61" customFormat="1">
      <c r="E53" s="82" t="s">
        <v>43</v>
      </c>
      <c r="F53" s="80">
        <f>43800+180000</f>
        <v>223800</v>
      </c>
      <c r="G53" s="82"/>
      <c r="H53" s="83"/>
      <c r="I53" s="233"/>
      <c r="J53" s="13"/>
      <c r="L53" s="96"/>
      <c r="M53" s="231"/>
    </row>
    <row r="54" spans="4:13" s="61" customFormat="1">
      <c r="E54" s="82" t="s">
        <v>44</v>
      </c>
      <c r="F54" s="80">
        <v>365000</v>
      </c>
      <c r="G54" s="82"/>
      <c r="H54" s="96"/>
      <c r="I54" s="228"/>
      <c r="J54" s="13"/>
      <c r="L54" s="96"/>
      <c r="M54" s="233"/>
    </row>
    <row r="55" spans="4:13" s="61" customFormat="1">
      <c r="E55" s="82" t="s">
        <v>45</v>
      </c>
      <c r="F55" s="117">
        <v>0</v>
      </c>
      <c r="G55" s="82"/>
      <c r="H55" s="83"/>
      <c r="I55" s="233"/>
      <c r="J55" s="13"/>
    </row>
    <row r="56" spans="4:13" s="61" customFormat="1">
      <c r="E56" s="82" t="s">
        <v>205</v>
      </c>
      <c r="F56" s="117">
        <v>0</v>
      </c>
      <c r="G56"/>
      <c r="H56" s="96"/>
      <c r="I56" s="219"/>
      <c r="J56" s="13"/>
      <c r="L56" s="83"/>
      <c r="M56" s="228"/>
    </row>
    <row r="57" spans="4:13">
      <c r="E57" s="82" t="s">
        <v>206</v>
      </c>
      <c r="F57" s="117">
        <v>0</v>
      </c>
      <c r="H57" s="61"/>
      <c r="I57" s="61"/>
      <c r="J57" s="13"/>
      <c r="K57" s="61"/>
      <c r="L57" s="61"/>
      <c r="M57" s="61"/>
    </row>
    <row r="58" spans="4:13">
      <c r="E58" s="118" t="s">
        <v>46</v>
      </c>
      <c r="F58" s="120">
        <f>SUM(F53:F57)</f>
        <v>588800</v>
      </c>
      <c r="H58" s="61"/>
      <c r="I58" s="61"/>
      <c r="J58" s="13"/>
      <c r="K58" s="61"/>
      <c r="L58" s="61"/>
      <c r="M58" s="61"/>
    </row>
    <row r="59" spans="4:13">
      <c r="E59" s="82"/>
      <c r="F59" s="80"/>
    </row>
    <row r="60" spans="4:13">
      <c r="E60" s="118" t="s">
        <v>47</v>
      </c>
      <c r="F60" s="120">
        <f>F51-F58</f>
        <v>-2047923.3199999998</v>
      </c>
      <c r="G60" s="8"/>
    </row>
    <row r="61" spans="4:13">
      <c r="D61" s="247" t="s">
        <v>192</v>
      </c>
      <c r="E61" s="61"/>
      <c r="F61" s="220"/>
      <c r="G61" s="8"/>
    </row>
    <row r="62" spans="4:13">
      <c r="D62" s="247" t="s">
        <v>194</v>
      </c>
      <c r="E62" s="61"/>
      <c r="F62" s="220"/>
      <c r="G62" s="8"/>
    </row>
    <row r="63" spans="4:13">
      <c r="D63" s="8" t="s">
        <v>9</v>
      </c>
      <c r="E63" s="8"/>
      <c r="F63" s="220"/>
      <c r="G63" s="8"/>
    </row>
    <row r="64" spans="4:13">
      <c r="D64" s="8" t="s">
        <v>195</v>
      </c>
      <c r="E64" s="8"/>
      <c r="F64" s="220"/>
      <c r="G64" s="124">
        <f>SUM(E70:F70)</f>
        <v>0</v>
      </c>
    </row>
    <row r="65" spans="1:7">
      <c r="D65" s="8" t="s">
        <v>188</v>
      </c>
      <c r="E65" s="247"/>
      <c r="F65" s="247"/>
      <c r="G65" s="8"/>
    </row>
    <row r="66" spans="1:7">
      <c r="D66" s="8"/>
      <c r="E66" s="247"/>
      <c r="F66" s="286"/>
    </row>
    <row r="67" spans="1:7">
      <c r="E67" s="276"/>
      <c r="F67" s="287"/>
    </row>
    <row r="68" spans="1:7">
      <c r="E68" s="276"/>
      <c r="F68" s="287"/>
    </row>
    <row r="69" spans="1:7">
      <c r="E69" s="276"/>
      <c r="F69" s="287"/>
    </row>
    <row r="70" spans="1:7">
      <c r="E70" s="127"/>
      <c r="F70" s="287"/>
    </row>
    <row r="71" spans="1:7">
      <c r="E71" s="79"/>
    </row>
    <row r="72" spans="1:7">
      <c r="A72" s="268"/>
      <c r="E72" s="79"/>
    </row>
    <row r="73" spans="1:7">
      <c r="E73" s="79"/>
    </row>
    <row r="74" spans="1:7">
      <c r="E74" s="79"/>
    </row>
    <row r="75" spans="1:7">
      <c r="B75" s="235"/>
      <c r="E75" s="79"/>
    </row>
    <row r="76" spans="1:7">
      <c r="E76" s="79"/>
    </row>
    <row r="77" spans="1:7">
      <c r="E77" s="277"/>
    </row>
    <row r="78" spans="1:7">
      <c r="A78" s="269"/>
      <c r="C78" s="155"/>
      <c r="E78" s="79"/>
    </row>
    <row r="79" spans="1:7">
      <c r="E79" s="277"/>
    </row>
    <row r="80" spans="1:7">
      <c r="A80" s="269"/>
      <c r="C80" s="155"/>
      <c r="E80" s="79"/>
    </row>
    <row r="81" spans="1:5">
      <c r="E81" s="277"/>
    </row>
    <row r="82" spans="1:5">
      <c r="A82" s="269"/>
      <c r="C82" s="155"/>
      <c r="E82" s="79"/>
    </row>
    <row r="83" spans="1:5">
      <c r="E83" s="277"/>
    </row>
    <row r="84" spans="1:5">
      <c r="A84" s="269"/>
      <c r="C84" s="155"/>
      <c r="E84" s="79"/>
    </row>
    <row r="85" spans="1:5">
      <c r="E85" s="277"/>
    </row>
    <row r="86" spans="1:5">
      <c r="A86" s="269"/>
      <c r="C86" s="155"/>
      <c r="E86" s="79"/>
    </row>
    <row r="87" spans="1:5">
      <c r="E87" s="277"/>
    </row>
    <row r="88" spans="1:5">
      <c r="A88" s="269"/>
      <c r="C88" s="155"/>
      <c r="E88" s="79"/>
    </row>
    <row r="89" spans="1:5">
      <c r="E89" s="277"/>
    </row>
    <row r="90" spans="1:5">
      <c r="A90" s="269"/>
      <c r="C90" s="155"/>
      <c r="E90" s="79"/>
    </row>
    <row r="91" spans="1:5">
      <c r="E91" s="277"/>
    </row>
    <row r="92" spans="1:5">
      <c r="A92" s="269"/>
      <c r="C92" s="155"/>
      <c r="E92" s="79"/>
    </row>
    <row r="93" spans="1:5">
      <c r="E93" s="277"/>
    </row>
    <row r="94" spans="1:5">
      <c r="A94" s="269"/>
      <c r="C94" s="155"/>
      <c r="E94" s="79"/>
    </row>
    <row r="95" spans="1:5">
      <c r="E95" s="277"/>
    </row>
    <row r="96" spans="1:5">
      <c r="A96" s="269"/>
      <c r="C96" s="155"/>
      <c r="E96" s="79"/>
    </row>
    <row r="97" spans="1:5">
      <c r="E97" s="277"/>
    </row>
    <row r="98" spans="1:5">
      <c r="A98" s="269"/>
      <c r="C98" s="155"/>
      <c r="E98" s="79"/>
    </row>
    <row r="99" spans="1:5">
      <c r="E99" s="277"/>
    </row>
    <row r="100" spans="1:5">
      <c r="A100" s="269"/>
      <c r="C100" s="155"/>
      <c r="E100" s="79"/>
    </row>
    <row r="101" spans="1:5">
      <c r="E101" s="277"/>
    </row>
    <row r="102" spans="1:5">
      <c r="A102" s="269"/>
      <c r="C102" s="155"/>
      <c r="E102" s="79"/>
    </row>
    <row r="103" spans="1:5">
      <c r="E103" s="277"/>
    </row>
    <row r="104" spans="1:5">
      <c r="A104" s="269"/>
      <c r="C104" s="155"/>
      <c r="E104" s="79"/>
    </row>
    <row r="105" spans="1:5">
      <c r="E105" s="277"/>
    </row>
    <row r="106" spans="1:5">
      <c r="A106" s="269"/>
      <c r="C106" s="155"/>
      <c r="E106" s="79"/>
    </row>
    <row r="107" spans="1:5">
      <c r="E107" s="277"/>
    </row>
    <row r="108" spans="1:5">
      <c r="A108" s="269"/>
      <c r="C108" s="155"/>
      <c r="E108" s="79"/>
    </row>
    <row r="109" spans="1:5">
      <c r="E109" s="277"/>
    </row>
    <row r="110" spans="1:5">
      <c r="A110" s="269"/>
      <c r="C110" s="155"/>
      <c r="E110" s="79"/>
    </row>
    <row r="111" spans="1:5">
      <c r="E111" s="277"/>
    </row>
    <row r="112" spans="1:5">
      <c r="A112" s="269"/>
      <c r="C112" s="155"/>
      <c r="E112" s="79"/>
    </row>
    <row r="113" spans="1:5">
      <c r="E113" s="277"/>
    </row>
    <row r="114" spans="1:5">
      <c r="A114" s="269"/>
      <c r="C114" s="155"/>
      <c r="E114" s="79"/>
    </row>
    <row r="115" spans="1:5">
      <c r="E115" s="277"/>
    </row>
    <row r="116" spans="1:5">
      <c r="A116" s="269"/>
      <c r="C116" s="155"/>
      <c r="E116" s="79"/>
    </row>
    <row r="117" spans="1:5">
      <c r="E117" s="277"/>
    </row>
    <row r="118" spans="1:5">
      <c r="A118" s="269"/>
      <c r="C118" s="155"/>
      <c r="E118" s="79"/>
    </row>
    <row r="119" spans="1:5">
      <c r="E119" s="277"/>
    </row>
    <row r="120" spans="1:5">
      <c r="A120" s="269"/>
      <c r="C120" s="155"/>
      <c r="E120" s="79"/>
    </row>
    <row r="121" spans="1:5">
      <c r="E121" s="277"/>
    </row>
    <row r="122" spans="1:5">
      <c r="A122" s="269"/>
      <c r="C122" s="155"/>
    </row>
    <row r="123" spans="1:5">
      <c r="E123" s="155"/>
    </row>
    <row r="124" spans="1:5">
      <c r="A124" s="269"/>
      <c r="C124" s="155"/>
    </row>
    <row r="125" spans="1:5">
      <c r="E125" s="155"/>
    </row>
    <row r="126" spans="1:5">
      <c r="A126" s="269"/>
      <c r="C126" s="155"/>
    </row>
    <row r="127" spans="1:5">
      <c r="E127" s="155"/>
    </row>
    <row r="128" spans="1:5">
      <c r="A128" s="269"/>
      <c r="C128" s="155"/>
    </row>
    <row r="129" spans="1:5">
      <c r="E129" s="155"/>
    </row>
    <row r="130" spans="1:5">
      <c r="A130" s="269"/>
      <c r="C130" s="155"/>
    </row>
    <row r="131" spans="1:5">
      <c r="E131" s="155"/>
    </row>
    <row r="132" spans="1:5">
      <c r="A132" s="269"/>
      <c r="C132" s="155"/>
    </row>
    <row r="133" spans="1:5">
      <c r="E133" s="155"/>
    </row>
    <row r="134" spans="1:5">
      <c r="A134" s="269"/>
      <c r="C134" s="155"/>
    </row>
    <row r="135" spans="1:5">
      <c r="E135" s="155"/>
    </row>
    <row r="136" spans="1:5">
      <c r="A136" s="269"/>
      <c r="C136" s="155"/>
    </row>
    <row r="137" spans="1:5">
      <c r="E137" s="155"/>
    </row>
    <row r="138" spans="1:5">
      <c r="A138" s="269"/>
      <c r="C138" s="155"/>
    </row>
    <row r="139" spans="1:5">
      <c r="E139" s="155"/>
    </row>
    <row r="140" spans="1:5">
      <c r="A140" s="269"/>
      <c r="C140" s="155"/>
    </row>
    <row r="141" spans="1:5">
      <c r="E141" s="155"/>
    </row>
    <row r="142" spans="1:5">
      <c r="A142" s="269"/>
      <c r="C142" s="155"/>
    </row>
    <row r="143" spans="1:5">
      <c r="E143" s="155"/>
    </row>
    <row r="144" spans="1:5">
      <c r="A144" s="269"/>
      <c r="C144" s="155"/>
    </row>
    <row r="145" spans="1:5">
      <c r="E145" s="155"/>
    </row>
    <row r="146" spans="1:5">
      <c r="A146" s="269"/>
      <c r="C146" s="155"/>
    </row>
    <row r="147" spans="1:5">
      <c r="E147" s="155"/>
    </row>
    <row r="148" spans="1:5">
      <c r="A148" s="269"/>
      <c r="C148" s="155"/>
    </row>
    <row r="149" spans="1:5">
      <c r="E149" s="155"/>
    </row>
    <row r="150" spans="1:5">
      <c r="A150" s="269"/>
      <c r="C150" s="155"/>
    </row>
    <row r="151" spans="1:5">
      <c r="E151" s="155"/>
    </row>
    <row r="152" spans="1:5">
      <c r="A152" s="269"/>
      <c r="C152" s="155"/>
    </row>
    <row r="153" spans="1:5">
      <c r="E153" s="155"/>
    </row>
    <row r="154" spans="1:5">
      <c r="A154" s="269"/>
      <c r="C154" s="155"/>
    </row>
    <row r="155" spans="1:5">
      <c r="E155" s="155"/>
    </row>
    <row r="156" spans="1:5">
      <c r="A156" s="269"/>
      <c r="C156" s="155"/>
    </row>
    <row r="157" spans="1:5">
      <c r="E157" s="155"/>
    </row>
    <row r="158" spans="1:5">
      <c r="A158" s="269"/>
      <c r="C158" s="155"/>
    </row>
    <row r="159" spans="1:5">
      <c r="E159" s="155"/>
    </row>
    <row r="160" spans="1:5">
      <c r="A160" s="269"/>
      <c r="C160" s="155"/>
    </row>
    <row r="161" spans="1:5">
      <c r="E161" s="155"/>
    </row>
    <row r="162" spans="1:5">
      <c r="A162" s="269"/>
      <c r="C162" s="155"/>
    </row>
    <row r="163" spans="1:5">
      <c r="E163" s="155"/>
    </row>
    <row r="164" spans="1:5">
      <c r="A164" s="269"/>
      <c r="C164" s="155"/>
    </row>
    <row r="165" spans="1:5">
      <c r="E165" s="155"/>
    </row>
    <row r="166" spans="1:5">
      <c r="A166" s="269"/>
      <c r="C166" s="155"/>
    </row>
    <row r="167" spans="1:5">
      <c r="E167" s="155"/>
    </row>
    <row r="168" spans="1:5">
      <c r="A168" s="269"/>
      <c r="C168" s="155"/>
    </row>
    <row r="169" spans="1:5">
      <c r="E169" s="155"/>
    </row>
    <row r="170" spans="1:5">
      <c r="A170" s="269"/>
      <c r="C170" s="155"/>
    </row>
    <row r="171" spans="1:5">
      <c r="E171" s="155"/>
    </row>
    <row r="172" spans="1:5">
      <c r="A172" s="269"/>
      <c r="C172" s="155"/>
    </row>
    <row r="173" spans="1:5">
      <c r="E173" s="155"/>
    </row>
    <row r="174" spans="1:5">
      <c r="A174" s="269"/>
      <c r="C174" s="155"/>
    </row>
    <row r="175" spans="1:5">
      <c r="E175" s="155"/>
    </row>
    <row r="176" spans="1:5">
      <c r="A176" s="269"/>
      <c r="C176" s="155"/>
    </row>
    <row r="177" spans="1:5">
      <c r="E177" s="155"/>
    </row>
    <row r="178" spans="1:5">
      <c r="A178" s="269"/>
      <c r="C178" s="155"/>
    </row>
    <row r="179" spans="1:5">
      <c r="E179" s="155"/>
    </row>
    <row r="180" spans="1:5">
      <c r="A180" s="269"/>
      <c r="C180" s="155"/>
    </row>
    <row r="181" spans="1:5">
      <c r="E181" s="155"/>
    </row>
    <row r="182" spans="1:5">
      <c r="A182" s="269"/>
      <c r="C182" s="155"/>
    </row>
    <row r="183" spans="1:5">
      <c r="E183" s="155"/>
    </row>
    <row r="184" spans="1:5">
      <c r="A184" s="269"/>
      <c r="C184" s="155"/>
    </row>
    <row r="185" spans="1:5">
      <c r="E185" s="155"/>
    </row>
    <row r="186" spans="1:5">
      <c r="A186" s="269"/>
      <c r="C186" s="155"/>
    </row>
    <row r="187" spans="1:5">
      <c r="E187" s="155"/>
    </row>
    <row r="188" spans="1:5">
      <c r="A188" s="269"/>
      <c r="C188" s="155"/>
    </row>
    <row r="189" spans="1:5">
      <c r="E189" s="155"/>
    </row>
    <row r="190" spans="1:5">
      <c r="A190" s="269"/>
      <c r="C190" s="155"/>
    </row>
    <row r="191" spans="1:5">
      <c r="E191" s="155"/>
    </row>
    <row r="192" spans="1:5">
      <c r="A192" s="269"/>
      <c r="C192" s="155"/>
    </row>
    <row r="193" spans="1:5">
      <c r="E193" s="155"/>
    </row>
    <row r="194" spans="1:5">
      <c r="A194" s="269"/>
      <c r="C194" s="155"/>
    </row>
    <row r="195" spans="1:5">
      <c r="E195" s="155"/>
    </row>
    <row r="196" spans="1:5">
      <c r="A196" s="269"/>
      <c r="C196" s="155"/>
    </row>
    <row r="197" spans="1:5">
      <c r="E197" s="155"/>
    </row>
    <row r="198" spans="1:5">
      <c r="A198" s="269"/>
      <c r="D198" s="155"/>
    </row>
    <row r="199" spans="1:5">
      <c r="E199" s="155"/>
    </row>
    <row r="200" spans="1:5">
      <c r="A200" s="269"/>
      <c r="C200" s="155"/>
    </row>
    <row r="201" spans="1:5">
      <c r="E201" s="155"/>
    </row>
    <row r="202" spans="1:5">
      <c r="A202" s="269"/>
      <c r="C202" s="155"/>
    </row>
    <row r="203" spans="1:5">
      <c r="E203" s="155"/>
    </row>
    <row r="204" spans="1:5">
      <c r="A204" s="269"/>
      <c r="C204" s="155"/>
    </row>
    <row r="205" spans="1:5">
      <c r="E205" s="155"/>
    </row>
    <row r="206" spans="1:5">
      <c r="A206" s="269"/>
      <c r="C206" s="155"/>
    </row>
    <row r="207" spans="1:5">
      <c r="E207" s="155"/>
    </row>
    <row r="208" spans="1:5">
      <c r="A208" s="269"/>
      <c r="C208" s="155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414CB-7D2C-42E4-B7F5-4CA66961CE94}">
  <dimension ref="A6:R209"/>
  <sheetViews>
    <sheetView showGridLines="0" topLeftCell="A6" workbookViewId="0">
      <selection activeCell="A6"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  <c r="L13" s="13"/>
    </row>
    <row r="14" spans="1:14" ht="15" thickBot="1">
      <c r="A14" s="1"/>
      <c r="B14" s="334" t="s">
        <v>3</v>
      </c>
      <c r="C14" s="335"/>
      <c r="D14" s="336"/>
      <c r="E14" s="17">
        <f>SUM(E15:E17)</f>
        <v>2748653.25</v>
      </c>
      <c r="F14" s="150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37" t="s">
        <v>5</v>
      </c>
      <c r="C15" s="338"/>
      <c r="D15" s="339"/>
      <c r="E15" s="20">
        <f>J16+J17+J18+J19</f>
        <v>2608186.4900000002</v>
      </c>
      <c r="F15" s="153">
        <f>E15+E16+E17</f>
        <v>2748653.25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349" t="s">
        <v>7</v>
      </c>
      <c r="C16" s="350"/>
      <c r="D16" s="351"/>
      <c r="E16" s="20">
        <f>G22+G23</f>
        <v>30787.11</v>
      </c>
      <c r="F16" s="153">
        <v>90000</v>
      </c>
      <c r="G16" s="22">
        <v>57198.32</v>
      </c>
      <c r="H16" s="23" t="s">
        <v>8</v>
      </c>
      <c r="I16" s="24"/>
      <c r="J16" s="25">
        <v>65140.22</v>
      </c>
      <c r="K16" s="26" t="s">
        <v>9</v>
      </c>
      <c r="L16" s="13"/>
      <c r="M16" t="s">
        <v>340</v>
      </c>
      <c r="N16" s="3">
        <f>5741+1122144</f>
        <v>1127885</v>
      </c>
    </row>
    <row r="17" spans="2:18">
      <c r="B17" s="352" t="s">
        <v>6</v>
      </c>
      <c r="C17" s="353"/>
      <c r="D17" s="354"/>
      <c r="E17" s="28">
        <f>G16+G17+G18</f>
        <v>109679.65000000001</v>
      </c>
      <c r="F17" s="153">
        <f>+F15-F16</f>
        <v>2658653.25</v>
      </c>
      <c r="G17" s="22">
        <v>11664.67</v>
      </c>
      <c r="H17" s="29" t="s">
        <v>10</v>
      </c>
      <c r="I17" s="30"/>
      <c r="J17" s="25">
        <v>1574974.15</v>
      </c>
      <c r="K17" s="31" t="s">
        <v>10</v>
      </c>
      <c r="M17" t="s">
        <v>342</v>
      </c>
      <c r="N17" s="3">
        <f>3294+260656</f>
        <v>263950</v>
      </c>
    </row>
    <row r="18" spans="2:18">
      <c r="B18" s="236" t="s">
        <v>187</v>
      </c>
      <c r="C18" s="237"/>
      <c r="D18" s="238"/>
      <c r="E18" s="28">
        <f>+J22</f>
        <v>14541.8</v>
      </c>
      <c r="F18" s="153"/>
      <c r="G18" s="22">
        <v>40816.660000000003</v>
      </c>
      <c r="H18" s="29" t="s">
        <v>12</v>
      </c>
      <c r="I18" s="30"/>
      <c r="J18" s="25">
        <v>640736.13</v>
      </c>
      <c r="K18" s="31" t="s">
        <v>12</v>
      </c>
      <c r="L18" s="152">
        <f>+N16-J18</f>
        <v>487148.87</v>
      </c>
      <c r="M18" t="s">
        <v>341</v>
      </c>
      <c r="N18" s="3">
        <f>166059+2431</f>
        <v>168490</v>
      </c>
    </row>
    <row r="19" spans="2:18">
      <c r="B19" s="379" t="s">
        <v>11</v>
      </c>
      <c r="C19" s="380"/>
      <c r="D19" s="381"/>
      <c r="E19" s="20">
        <f>G29+G31+G30+G28</f>
        <v>14279.410000000013</v>
      </c>
      <c r="F19" s="153"/>
      <c r="G19" s="33"/>
      <c r="H19" s="34"/>
      <c r="I19" s="30"/>
      <c r="J19" s="25">
        <v>327335.99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18833566.620000001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SUM(E22:E25)</f>
        <v>1610241.8199999998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120</v>
      </c>
      <c r="E22" s="190">
        <v>1515762.5</v>
      </c>
      <c r="F22" s="153"/>
      <c r="G22" s="44">
        <v>13819.44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187"/>
      <c r="C23" s="188"/>
      <c r="D23" s="198" t="s">
        <v>120</v>
      </c>
      <c r="E23" s="190">
        <v>4640</v>
      </c>
      <c r="F23" s="153"/>
      <c r="G23" s="44">
        <v>16967.669999999998</v>
      </c>
      <c r="H23" s="29" t="s">
        <v>18</v>
      </c>
      <c r="I23" s="30"/>
      <c r="J23" s="25"/>
      <c r="K23" s="31"/>
    </row>
    <row r="24" spans="2:18" ht="15" thickBot="1">
      <c r="B24" s="187"/>
      <c r="C24" s="188"/>
      <c r="D24" s="198" t="s">
        <v>120</v>
      </c>
      <c r="E24" s="190">
        <v>50885.88</v>
      </c>
      <c r="F24" s="153"/>
      <c r="G24" s="51"/>
      <c r="H24" s="34"/>
      <c r="I24" s="30"/>
      <c r="J24" s="210"/>
      <c r="K24" s="53"/>
    </row>
    <row r="25" spans="2:18" ht="15" thickBot="1">
      <c r="B25" s="206"/>
      <c r="C25" s="205"/>
      <c r="D25" s="208" t="s">
        <v>120</v>
      </c>
      <c r="E25" s="190">
        <v>38953.440000000002</v>
      </c>
      <c r="F25" s="220"/>
      <c r="G25" s="331" t="s">
        <v>21</v>
      </c>
      <c r="H25" s="332"/>
      <c r="I25" s="332"/>
      <c r="J25" s="332"/>
      <c r="K25" s="333"/>
      <c r="N25" s="269"/>
      <c r="Q25" s="155"/>
      <c r="R25" s="155"/>
    </row>
    <row r="26" spans="2:18">
      <c r="B26" s="46" t="s">
        <v>17</v>
      </c>
      <c r="C26" s="47"/>
      <c r="D26" s="48"/>
      <c r="E26" s="234">
        <f>466+466</f>
        <v>932</v>
      </c>
      <c r="F26" s="153">
        <f>+F17-E26</f>
        <v>2657721.25</v>
      </c>
      <c r="G26" s="54"/>
      <c r="H26" s="55"/>
      <c r="I26" s="56"/>
      <c r="J26" s="211"/>
      <c r="K26" s="58"/>
      <c r="N26" s="269"/>
      <c r="P26" s="155"/>
      <c r="R26" s="155"/>
    </row>
    <row r="27" spans="2:18">
      <c r="B27" s="202" t="s">
        <v>163</v>
      </c>
      <c r="C27" s="203"/>
      <c r="D27" s="204"/>
      <c r="E27" s="234">
        <v>0</v>
      </c>
      <c r="F27" s="288">
        <f>SUM(E26:E32)</f>
        <v>169422</v>
      </c>
      <c r="G27" s="377" t="s">
        <v>5</v>
      </c>
      <c r="H27" s="378"/>
      <c r="I27" s="59"/>
      <c r="J27" s="60"/>
      <c r="K27" s="45"/>
    </row>
    <row r="28" spans="2:18">
      <c r="B28" s="199" t="s">
        <v>22</v>
      </c>
      <c r="C28" s="200"/>
      <c r="D28" s="201"/>
      <c r="E28" s="49">
        <v>0</v>
      </c>
      <c r="F28" s="153">
        <f>+F26-F27</f>
        <v>2488299.25</v>
      </c>
      <c r="G28" s="22">
        <f>23984.4-11500-8500</f>
        <v>3984.4000000000015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81</v>
      </c>
      <c r="C29" s="200"/>
      <c r="D29" s="201"/>
      <c r="E29" s="49">
        <v>168490</v>
      </c>
      <c r="F29" s="221"/>
      <c r="G29" s="22">
        <f>155242.94- 154326.09</f>
        <v>916.85000000000582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199" t="s">
        <v>24</v>
      </c>
      <c r="C30" s="200"/>
      <c r="D30" s="201"/>
      <c r="E30" s="49">
        <v>0</v>
      </c>
      <c r="F30" s="220"/>
      <c r="G30" s="67">
        <v>1746.78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44" t="s">
        <v>25</v>
      </c>
      <c r="C31" s="345"/>
      <c r="D31" s="346"/>
      <c r="E31" s="49">
        <v>0</v>
      </c>
      <c r="F31" s="220"/>
      <c r="G31" s="71">
        <f>399887.02-392255.64</f>
        <v>7631.3800000000047</v>
      </c>
      <c r="H31" s="72" t="s">
        <v>12</v>
      </c>
      <c r="I31" s="73"/>
      <c r="J31" s="74" t="s">
        <v>32</v>
      </c>
      <c r="K31" s="75" t="s">
        <v>33</v>
      </c>
    </row>
    <row r="32" spans="2:18" ht="15" thickBot="1">
      <c r="B32" s="363" t="s">
        <v>29</v>
      </c>
      <c r="C32" s="364"/>
      <c r="D32" s="365"/>
      <c r="E32" s="66">
        <v>0</v>
      </c>
      <c r="F32" s="220"/>
      <c r="N32" s="269"/>
      <c r="P32" s="155"/>
      <c r="R32" s="155"/>
    </row>
    <row r="33" spans="1:18">
      <c r="E33" s="61"/>
      <c r="F33" s="220"/>
    </row>
    <row r="34" spans="1:18">
      <c r="E34" s="61"/>
      <c r="F34" s="220"/>
      <c r="H34" s="61"/>
      <c r="I34" s="61"/>
      <c r="J34" s="13"/>
      <c r="K34" s="61"/>
      <c r="L34" s="61"/>
      <c r="M34" s="61"/>
      <c r="N34" s="269"/>
      <c r="P34" s="155"/>
      <c r="R34" s="155"/>
    </row>
    <row r="35" spans="1:18">
      <c r="E35" s="61"/>
      <c r="F35" s="220"/>
      <c r="H35" s="61"/>
      <c r="I35" s="61"/>
      <c r="J35" s="13"/>
      <c r="K35" s="61"/>
      <c r="L35" s="61"/>
      <c r="M35" s="61"/>
    </row>
    <row r="36" spans="1:18" s="61" customFormat="1" ht="15" customHeight="1">
      <c r="A36"/>
      <c r="B36"/>
      <c r="C36"/>
      <c r="D36"/>
      <c r="E36" s="8"/>
      <c r="F36" s="220"/>
      <c r="G36" s="8"/>
      <c r="H36" s="13"/>
      <c r="J36" s="13"/>
      <c r="K36" s="83"/>
      <c r="L36" s="88"/>
      <c r="N36" s="272"/>
      <c r="P36" s="273"/>
      <c r="R36" s="273"/>
    </row>
    <row r="37" spans="1:18" s="61" customFormat="1" ht="15" customHeight="1">
      <c r="E37" s="181" t="s">
        <v>338</v>
      </c>
      <c r="F37" s="222"/>
      <c r="G37" s="181"/>
      <c r="H37" s="161"/>
      <c r="I37" s="197"/>
      <c r="J37" s="13"/>
      <c r="K37" s="83"/>
      <c r="L37" s="161"/>
      <c r="M37" s="197"/>
    </row>
    <row r="38" spans="1:18" s="61" customFormat="1" ht="15" customHeight="1">
      <c r="E38" s="181"/>
      <c r="F38" s="222"/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1:18" s="61" customFormat="1" ht="15" customHeight="1">
      <c r="E39" s="8" t="s">
        <v>34</v>
      </c>
      <c r="F39" s="222">
        <f>F17</f>
        <v>2658653.25</v>
      </c>
      <c r="G39" s="86"/>
      <c r="I39" s="197"/>
      <c r="J39" s="13"/>
      <c r="K39" s="85"/>
      <c r="M39" s="197"/>
    </row>
    <row r="40" spans="1:18" s="61" customFormat="1" ht="15" customHeight="1">
      <c r="E40" s="8" t="s">
        <v>35</v>
      </c>
      <c r="F40" s="222">
        <f>+E19</f>
        <v>14279.410000000013</v>
      </c>
      <c r="G40" s="86"/>
      <c r="I40" s="214"/>
      <c r="J40" s="13"/>
      <c r="K40" s="87"/>
      <c r="M40" s="197"/>
      <c r="N40" s="272"/>
      <c r="P40" s="273"/>
      <c r="R40" s="273"/>
    </row>
    <row r="41" spans="1:18" s="61" customFormat="1" ht="15" customHeight="1">
      <c r="E41" s="8" t="s">
        <v>36</v>
      </c>
      <c r="F41" s="222">
        <v>495000</v>
      </c>
      <c r="G41" s="9"/>
      <c r="I41" s="197"/>
      <c r="J41" s="13"/>
      <c r="M41" s="197"/>
    </row>
    <row r="42" spans="1:18" s="61" customFormat="1" ht="15" customHeight="1">
      <c r="E42" s="8" t="s">
        <v>37</v>
      </c>
      <c r="F42" s="222">
        <v>0</v>
      </c>
      <c r="G42" s="9"/>
      <c r="I42" s="197"/>
      <c r="J42" s="13"/>
      <c r="M42" s="197"/>
      <c r="N42" s="272"/>
      <c r="P42" s="273"/>
      <c r="R42" s="273"/>
    </row>
    <row r="43" spans="1:18" s="61" customFormat="1" ht="15" customHeight="1">
      <c r="E43" s="182" t="s">
        <v>38</v>
      </c>
      <c r="F43" s="223">
        <f>SUM(F39:F42)</f>
        <v>3167932.66</v>
      </c>
      <c r="G43" s="9"/>
      <c r="H43" s="163"/>
      <c r="I43" s="229"/>
      <c r="J43" s="13"/>
      <c r="L43" s="163"/>
      <c r="M43" s="229"/>
    </row>
    <row r="44" spans="1:18" s="61" customFormat="1" ht="15" customHeight="1">
      <c r="E44" s="183"/>
      <c r="F44" s="224"/>
      <c r="G44" s="9"/>
      <c r="H44" s="165"/>
      <c r="I44" s="230"/>
      <c r="J44" s="13"/>
      <c r="L44" s="165"/>
      <c r="M44" s="230"/>
      <c r="N44" s="272"/>
      <c r="P44" s="273"/>
      <c r="R44" s="273"/>
    </row>
    <row r="45" spans="1:18" s="61" customFormat="1" ht="15" customHeight="1">
      <c r="E45" s="183" t="s">
        <v>152</v>
      </c>
      <c r="F45" s="224">
        <v>125000</v>
      </c>
      <c r="G45" s="9"/>
      <c r="H45" s="165"/>
      <c r="I45" s="230"/>
      <c r="J45" s="13"/>
    </row>
    <row r="46" spans="1:18" s="61" customFormat="1" ht="15" customHeight="1">
      <c r="E46" s="183" t="s">
        <v>180</v>
      </c>
      <c r="F46" s="224">
        <v>0</v>
      </c>
      <c r="G46" s="9"/>
      <c r="H46" s="91"/>
      <c r="I46" s="219"/>
      <c r="J46" s="13"/>
      <c r="N46" s="272"/>
      <c r="Q46" s="273"/>
      <c r="R46" s="273"/>
    </row>
    <row r="47" spans="1:18" s="61" customFormat="1">
      <c r="E47" s="183" t="s">
        <v>81</v>
      </c>
      <c r="F47" s="224">
        <f>1750000+1412-3637-21545-1597</f>
        <v>1724633</v>
      </c>
      <c r="G47" s="8"/>
      <c r="H47" s="91"/>
      <c r="I47" s="219"/>
      <c r="J47" s="13"/>
      <c r="N47" s="272"/>
      <c r="Q47" s="273"/>
      <c r="R47" s="273"/>
    </row>
    <row r="48" spans="1:18" s="61" customFormat="1">
      <c r="E48" s="116" t="s">
        <v>24</v>
      </c>
      <c r="F48" s="220">
        <v>0</v>
      </c>
      <c r="G48" s="8"/>
      <c r="H48" s="91"/>
      <c r="I48" s="231"/>
      <c r="J48" s="13"/>
    </row>
    <row r="49" spans="1:13" s="61" customFormat="1">
      <c r="E49" s="116" t="s">
        <v>22</v>
      </c>
      <c r="F49" s="220">
        <v>35000</v>
      </c>
      <c r="G49" s="8"/>
      <c r="H49" s="96"/>
      <c r="I49" s="231"/>
      <c r="J49" s="262"/>
    </row>
    <row r="50" spans="1:13" s="61" customFormat="1">
      <c r="E50" s="116" t="s">
        <v>40</v>
      </c>
      <c r="F50" s="226">
        <f>150000-90000</f>
        <v>60000</v>
      </c>
      <c r="G50" s="82"/>
      <c r="H50" s="83"/>
      <c r="I50" s="228"/>
      <c r="J50" s="13"/>
    </row>
    <row r="51" spans="1:13" s="61" customFormat="1">
      <c r="E51" s="118" t="s">
        <v>41</v>
      </c>
      <c r="F51" s="225">
        <f>SUM(F45:F50)</f>
        <v>1944633</v>
      </c>
      <c r="G51" s="82"/>
      <c r="H51" s="83"/>
      <c r="I51" s="233"/>
      <c r="J51" s="13"/>
      <c r="L51" s="91"/>
      <c r="M51" s="232"/>
    </row>
    <row r="52" spans="1:13" s="61" customFormat="1">
      <c r="E52" s="118" t="s">
        <v>42</v>
      </c>
      <c r="F52" s="225">
        <f>F43-F51</f>
        <v>1223299.6600000001</v>
      </c>
      <c r="G52" s="82"/>
      <c r="H52" s="83"/>
      <c r="I52" s="233"/>
      <c r="J52" s="13"/>
      <c r="L52" s="91"/>
      <c r="M52" s="232"/>
    </row>
    <row r="53" spans="1:13" s="61" customFormat="1">
      <c r="E53" s="8"/>
      <c r="F53" s="154"/>
      <c r="G53" s="82"/>
      <c r="H53" s="83"/>
      <c r="I53" s="233"/>
      <c r="J53" s="13"/>
      <c r="L53" s="96"/>
      <c r="M53" s="231"/>
    </row>
    <row r="54" spans="1:13" s="61" customFormat="1">
      <c r="E54" s="82" t="s">
        <v>43</v>
      </c>
      <c r="F54" s="80">
        <f>43800+180000</f>
        <v>223800</v>
      </c>
      <c r="G54" s="82"/>
      <c r="H54" s="96"/>
      <c r="I54" s="228"/>
      <c r="J54" s="13"/>
      <c r="L54" s="96"/>
      <c r="M54" s="233"/>
    </row>
    <row r="55" spans="1:13" s="61" customFormat="1">
      <c r="E55" s="82" t="s">
        <v>44</v>
      </c>
      <c r="F55" s="80">
        <v>365000</v>
      </c>
      <c r="G55" s="82"/>
      <c r="H55" s="83"/>
      <c r="I55" s="233"/>
      <c r="J55" s="13"/>
    </row>
    <row r="56" spans="1:13" s="61" customFormat="1">
      <c r="E56" s="82" t="s">
        <v>45</v>
      </c>
      <c r="F56" s="117">
        <v>0</v>
      </c>
      <c r="G56"/>
      <c r="H56" s="96"/>
      <c r="I56" s="219"/>
      <c r="J56" s="13"/>
      <c r="L56" s="83"/>
      <c r="M56" s="228"/>
    </row>
    <row r="57" spans="1:13">
      <c r="A57" s="61"/>
      <c r="B57" s="61"/>
      <c r="C57" s="61"/>
      <c r="D57" s="61"/>
      <c r="E57" s="82" t="s">
        <v>205</v>
      </c>
      <c r="F57" s="117">
        <v>0</v>
      </c>
      <c r="H57" s="61"/>
      <c r="I57" s="61"/>
      <c r="J57" s="13"/>
      <c r="K57" s="61"/>
      <c r="L57" s="61"/>
      <c r="M57" s="61"/>
    </row>
    <row r="58" spans="1:13">
      <c r="E58" s="82" t="s">
        <v>206</v>
      </c>
      <c r="F58" s="117">
        <v>0</v>
      </c>
      <c r="H58" s="61"/>
      <c r="I58" s="61"/>
      <c r="J58" s="13"/>
      <c r="K58" s="61"/>
      <c r="L58" s="61"/>
      <c r="M58" s="61"/>
    </row>
    <row r="59" spans="1:13">
      <c r="E59" s="118" t="s">
        <v>46</v>
      </c>
      <c r="F59" s="120">
        <f>SUM(F54:F58)</f>
        <v>588800</v>
      </c>
    </row>
    <row r="60" spans="1:13">
      <c r="E60" s="82"/>
      <c r="F60" s="80"/>
      <c r="G60" s="8"/>
    </row>
    <row r="61" spans="1:13">
      <c r="E61" s="118" t="s">
        <v>47</v>
      </c>
      <c r="F61" s="120">
        <f>F52-F59</f>
        <v>634499.66000000015</v>
      </c>
      <c r="G61" s="8"/>
    </row>
    <row r="62" spans="1:13">
      <c r="D62" s="247" t="s">
        <v>192</v>
      </c>
      <c r="E62" s="8"/>
      <c r="F62" s="220"/>
      <c r="G62" s="8"/>
    </row>
    <row r="63" spans="1:13">
      <c r="D63" s="247" t="s">
        <v>194</v>
      </c>
      <c r="E63" s="61"/>
      <c r="F63" s="219"/>
      <c r="G63" s="8"/>
    </row>
    <row r="64" spans="1:13">
      <c r="D64" s="8" t="s">
        <v>9</v>
      </c>
      <c r="E64" s="61"/>
      <c r="F64" s="219"/>
      <c r="G64" s="124">
        <f>SUM(E71:F71)</f>
        <v>0</v>
      </c>
    </row>
    <row r="65" spans="1:7">
      <c r="D65" s="8" t="s">
        <v>195</v>
      </c>
      <c r="E65" s="61"/>
      <c r="F65" s="219"/>
      <c r="G65" s="8"/>
    </row>
    <row r="66" spans="1:7">
      <c r="D66" s="8" t="s">
        <v>188</v>
      </c>
      <c r="E66" s="243"/>
      <c r="F66" s="243"/>
    </row>
    <row r="67" spans="1:7">
      <c r="D67" s="8"/>
      <c r="E67" s="243"/>
      <c r="F67" s="244"/>
    </row>
    <row r="68" spans="1:7">
      <c r="E68" s="245"/>
      <c r="F68" s="246"/>
    </row>
    <row r="69" spans="1:7">
      <c r="E69" s="276"/>
      <c r="F69" s="287"/>
    </row>
    <row r="70" spans="1:7">
      <c r="E70" s="276"/>
      <c r="F70" s="287"/>
    </row>
    <row r="71" spans="1:7">
      <c r="E71" s="127"/>
      <c r="F71" s="287"/>
    </row>
    <row r="72" spans="1:7">
      <c r="E72" s="79"/>
    </row>
    <row r="73" spans="1:7">
      <c r="A73" s="268"/>
      <c r="E73" s="79"/>
    </row>
    <row r="74" spans="1:7">
      <c r="E74" s="79"/>
    </row>
    <row r="75" spans="1:7">
      <c r="E75" s="79"/>
    </row>
    <row r="76" spans="1:7">
      <c r="B76" s="235"/>
      <c r="E76" s="79"/>
    </row>
    <row r="77" spans="1:7">
      <c r="E77" s="79"/>
    </row>
    <row r="78" spans="1:7">
      <c r="E78" s="277"/>
    </row>
    <row r="79" spans="1:7">
      <c r="A79" s="269"/>
      <c r="C79" s="155"/>
      <c r="E79" s="79"/>
    </row>
    <row r="80" spans="1:7">
      <c r="E80" s="277"/>
    </row>
    <row r="81" spans="1:5">
      <c r="A81" s="269"/>
      <c r="C81" s="155"/>
      <c r="E81" s="79"/>
    </row>
    <row r="82" spans="1:5">
      <c r="E82" s="277"/>
    </row>
    <row r="83" spans="1:5">
      <c r="A83" s="269"/>
      <c r="C83" s="155"/>
      <c r="E83" s="79"/>
    </row>
    <row r="84" spans="1:5">
      <c r="E84" s="277"/>
    </row>
    <row r="85" spans="1:5">
      <c r="A85" s="269"/>
      <c r="C85" s="155"/>
      <c r="E85" s="79"/>
    </row>
    <row r="86" spans="1:5">
      <c r="E86" s="277"/>
    </row>
    <row r="87" spans="1:5">
      <c r="A87" s="269"/>
      <c r="C87" s="155"/>
      <c r="E87" s="79"/>
    </row>
    <row r="88" spans="1:5">
      <c r="E88" s="277"/>
    </row>
    <row r="89" spans="1:5">
      <c r="A89" s="269"/>
      <c r="C89" s="155"/>
      <c r="E89" s="79"/>
    </row>
    <row r="90" spans="1:5">
      <c r="E90" s="277"/>
    </row>
    <row r="91" spans="1:5">
      <c r="A91" s="269"/>
      <c r="C91" s="155"/>
      <c r="E91" s="79"/>
    </row>
    <row r="92" spans="1:5">
      <c r="E92" s="277"/>
    </row>
    <row r="93" spans="1:5">
      <c r="A93" s="269"/>
      <c r="C93" s="155"/>
      <c r="E93" s="79"/>
    </row>
    <row r="94" spans="1:5">
      <c r="E94" s="277"/>
    </row>
    <row r="95" spans="1:5">
      <c r="A95" s="269"/>
      <c r="C95" s="155"/>
      <c r="E95" s="79"/>
    </row>
    <row r="96" spans="1:5">
      <c r="E96" s="277"/>
    </row>
    <row r="97" spans="1:5">
      <c r="A97" s="269"/>
      <c r="C97" s="155"/>
      <c r="E97" s="79"/>
    </row>
    <row r="98" spans="1:5">
      <c r="E98" s="277"/>
    </row>
    <row r="99" spans="1:5">
      <c r="A99" s="269"/>
      <c r="C99" s="155"/>
      <c r="E99" s="79"/>
    </row>
    <row r="100" spans="1:5">
      <c r="E100" s="277"/>
    </row>
    <row r="101" spans="1:5">
      <c r="A101" s="269"/>
      <c r="C101" s="155"/>
      <c r="E101" s="79"/>
    </row>
    <row r="102" spans="1:5">
      <c r="E102" s="277"/>
    </row>
    <row r="103" spans="1:5">
      <c r="A103" s="269"/>
      <c r="C103" s="155"/>
      <c r="E103" s="79"/>
    </row>
    <row r="104" spans="1:5">
      <c r="E104" s="277"/>
    </row>
    <row r="105" spans="1:5">
      <c r="A105" s="269"/>
      <c r="C105" s="155"/>
      <c r="E105" s="79"/>
    </row>
    <row r="106" spans="1:5">
      <c r="E106" s="277"/>
    </row>
    <row r="107" spans="1:5">
      <c r="A107" s="269"/>
      <c r="C107" s="155"/>
      <c r="E107" s="79"/>
    </row>
    <row r="108" spans="1:5">
      <c r="E108" s="277"/>
    </row>
    <row r="109" spans="1:5">
      <c r="A109" s="269"/>
      <c r="C109" s="155"/>
      <c r="E109" s="79"/>
    </row>
    <row r="110" spans="1:5">
      <c r="E110" s="277"/>
    </row>
    <row r="111" spans="1:5">
      <c r="A111" s="269"/>
      <c r="C111" s="155"/>
      <c r="E111" s="79"/>
    </row>
    <row r="112" spans="1:5">
      <c r="E112" s="277"/>
    </row>
    <row r="113" spans="1:5">
      <c r="A113" s="269"/>
      <c r="C113" s="155"/>
      <c r="E113" s="79"/>
    </row>
    <row r="114" spans="1:5">
      <c r="E114" s="277"/>
    </row>
    <row r="115" spans="1:5">
      <c r="A115" s="269"/>
      <c r="C115" s="155"/>
      <c r="E115" s="79"/>
    </row>
    <row r="116" spans="1:5">
      <c r="E116" s="277"/>
    </row>
    <row r="117" spans="1:5">
      <c r="A117" s="269"/>
      <c r="C117" s="155"/>
      <c r="E117" s="79"/>
    </row>
    <row r="118" spans="1:5">
      <c r="E118" s="277"/>
    </row>
    <row r="119" spans="1:5">
      <c r="A119" s="269"/>
      <c r="C119" s="155"/>
      <c r="E119" s="79"/>
    </row>
    <row r="120" spans="1:5">
      <c r="E120" s="277"/>
    </row>
    <row r="121" spans="1:5">
      <c r="A121" s="269"/>
      <c r="C121" s="155"/>
      <c r="E121" s="79"/>
    </row>
    <row r="122" spans="1:5">
      <c r="E122" s="277"/>
    </row>
    <row r="123" spans="1:5">
      <c r="A123" s="269"/>
      <c r="C123" s="155"/>
    </row>
    <row r="124" spans="1:5">
      <c r="E124" s="155"/>
    </row>
    <row r="125" spans="1:5">
      <c r="A125" s="269"/>
      <c r="C125" s="155"/>
    </row>
    <row r="126" spans="1:5">
      <c r="E126" s="155"/>
    </row>
    <row r="127" spans="1:5">
      <c r="A127" s="269"/>
      <c r="C127" s="155"/>
    </row>
    <row r="128" spans="1:5">
      <c r="E128" s="155"/>
    </row>
    <row r="129" spans="1:5">
      <c r="A129" s="269"/>
      <c r="C129" s="155"/>
    </row>
    <row r="130" spans="1:5">
      <c r="E130" s="155"/>
    </row>
    <row r="131" spans="1:5">
      <c r="A131" s="269"/>
      <c r="C131" s="155"/>
    </row>
    <row r="132" spans="1:5">
      <c r="E132" s="155"/>
    </row>
    <row r="133" spans="1:5">
      <c r="A133" s="269"/>
      <c r="C133" s="155"/>
    </row>
    <row r="134" spans="1:5">
      <c r="E134" s="155"/>
    </row>
    <row r="135" spans="1:5">
      <c r="A135" s="269"/>
      <c r="C135" s="155"/>
    </row>
    <row r="136" spans="1:5">
      <c r="E136" s="155"/>
    </row>
    <row r="137" spans="1:5">
      <c r="A137" s="269"/>
      <c r="C137" s="155"/>
    </row>
    <row r="138" spans="1:5">
      <c r="E138" s="155"/>
    </row>
    <row r="139" spans="1:5">
      <c r="A139" s="269"/>
      <c r="C139" s="155"/>
    </row>
    <row r="140" spans="1:5">
      <c r="E140" s="155"/>
    </row>
    <row r="141" spans="1:5">
      <c r="A141" s="269"/>
      <c r="C141" s="155"/>
    </row>
    <row r="142" spans="1:5">
      <c r="E142" s="155"/>
    </row>
    <row r="143" spans="1:5">
      <c r="A143" s="269"/>
      <c r="C143" s="155"/>
    </row>
    <row r="144" spans="1:5">
      <c r="E144" s="155"/>
    </row>
    <row r="145" spans="1:5">
      <c r="A145" s="269"/>
      <c r="C145" s="155"/>
    </row>
    <row r="146" spans="1:5">
      <c r="E146" s="155"/>
    </row>
    <row r="147" spans="1:5">
      <c r="A147" s="269"/>
      <c r="C147" s="155"/>
    </row>
    <row r="148" spans="1:5">
      <c r="E148" s="155"/>
    </row>
    <row r="149" spans="1:5">
      <c r="A149" s="269"/>
      <c r="C149" s="155"/>
    </row>
    <row r="150" spans="1:5">
      <c r="E150" s="155"/>
    </row>
    <row r="151" spans="1:5">
      <c r="A151" s="269"/>
      <c r="C151" s="155"/>
    </row>
    <row r="152" spans="1:5">
      <c r="E152" s="155"/>
    </row>
    <row r="153" spans="1:5">
      <c r="A153" s="269"/>
      <c r="C153" s="155"/>
    </row>
    <row r="154" spans="1:5">
      <c r="E154" s="155"/>
    </row>
    <row r="155" spans="1:5">
      <c r="A155" s="269"/>
      <c r="C155" s="155"/>
    </row>
    <row r="156" spans="1:5">
      <c r="E156" s="155"/>
    </row>
    <row r="157" spans="1:5">
      <c r="A157" s="269"/>
      <c r="C157" s="155"/>
    </row>
    <row r="158" spans="1:5">
      <c r="E158" s="155"/>
    </row>
    <row r="159" spans="1:5">
      <c r="A159" s="269"/>
      <c r="C159" s="155"/>
    </row>
    <row r="160" spans="1:5">
      <c r="E160" s="155"/>
    </row>
    <row r="161" spans="1:5">
      <c r="A161" s="269"/>
      <c r="C161" s="155"/>
    </row>
    <row r="162" spans="1:5">
      <c r="E162" s="155"/>
    </row>
    <row r="163" spans="1:5">
      <c r="A163" s="269"/>
      <c r="C163" s="155"/>
    </row>
    <row r="164" spans="1:5">
      <c r="E164" s="155"/>
    </row>
    <row r="165" spans="1:5">
      <c r="A165" s="269"/>
      <c r="C165" s="155"/>
    </row>
    <row r="166" spans="1:5">
      <c r="E166" s="155"/>
    </row>
    <row r="167" spans="1:5">
      <c r="A167" s="269"/>
      <c r="C167" s="155"/>
    </row>
    <row r="168" spans="1:5">
      <c r="E168" s="155"/>
    </row>
    <row r="169" spans="1:5">
      <c r="A169" s="269"/>
      <c r="C169" s="155"/>
    </row>
    <row r="170" spans="1:5">
      <c r="E170" s="155"/>
    </row>
    <row r="171" spans="1:5">
      <c r="A171" s="269"/>
      <c r="C171" s="155"/>
    </row>
    <row r="172" spans="1:5">
      <c r="E172" s="155"/>
    </row>
    <row r="173" spans="1:5">
      <c r="A173" s="269"/>
      <c r="C173" s="155"/>
    </row>
    <row r="174" spans="1:5">
      <c r="E174" s="155"/>
    </row>
    <row r="175" spans="1:5">
      <c r="A175" s="269"/>
      <c r="C175" s="155"/>
    </row>
    <row r="176" spans="1:5">
      <c r="E176" s="155"/>
    </row>
    <row r="177" spans="1:5">
      <c r="A177" s="269"/>
      <c r="C177" s="155"/>
    </row>
    <row r="178" spans="1:5">
      <c r="E178" s="155"/>
    </row>
    <row r="179" spans="1:5">
      <c r="A179" s="269"/>
      <c r="C179" s="155"/>
    </row>
    <row r="180" spans="1:5">
      <c r="E180" s="155"/>
    </row>
    <row r="181" spans="1:5">
      <c r="A181" s="269"/>
      <c r="C181" s="155"/>
    </row>
    <row r="182" spans="1:5">
      <c r="E182" s="155"/>
    </row>
    <row r="183" spans="1:5">
      <c r="A183" s="269"/>
      <c r="C183" s="155"/>
    </row>
    <row r="184" spans="1:5">
      <c r="E184" s="155"/>
    </row>
    <row r="185" spans="1:5">
      <c r="A185" s="269"/>
      <c r="C185" s="155"/>
    </row>
    <row r="186" spans="1:5">
      <c r="E186" s="155"/>
    </row>
    <row r="187" spans="1:5">
      <c r="A187" s="269"/>
      <c r="C187" s="155"/>
    </row>
    <row r="188" spans="1:5">
      <c r="E188" s="155"/>
    </row>
    <row r="189" spans="1:5">
      <c r="A189" s="269"/>
      <c r="C189" s="155"/>
    </row>
    <row r="190" spans="1:5">
      <c r="E190" s="155"/>
    </row>
    <row r="191" spans="1:5">
      <c r="A191" s="269"/>
      <c r="C191" s="155"/>
    </row>
    <row r="192" spans="1:5">
      <c r="E192" s="155"/>
    </row>
    <row r="193" spans="1:5">
      <c r="A193" s="269"/>
      <c r="C193" s="155"/>
    </row>
    <row r="194" spans="1:5">
      <c r="E194" s="155"/>
    </row>
    <row r="195" spans="1:5">
      <c r="A195" s="269"/>
      <c r="C195" s="155"/>
    </row>
    <row r="196" spans="1:5">
      <c r="E196" s="155"/>
    </row>
    <row r="197" spans="1:5">
      <c r="A197" s="269"/>
      <c r="C197" s="155"/>
    </row>
    <row r="198" spans="1:5">
      <c r="E198" s="155"/>
    </row>
    <row r="199" spans="1:5">
      <c r="A199" s="269"/>
      <c r="D199" s="155"/>
    </row>
    <row r="200" spans="1:5">
      <c r="E200" s="155"/>
    </row>
    <row r="201" spans="1:5">
      <c r="A201" s="269"/>
      <c r="C201" s="155"/>
    </row>
    <row r="202" spans="1:5">
      <c r="E202" s="155"/>
    </row>
    <row r="203" spans="1:5">
      <c r="A203" s="269"/>
      <c r="C203" s="155"/>
    </row>
    <row r="204" spans="1:5">
      <c r="E204" s="155"/>
    </row>
    <row r="205" spans="1:5">
      <c r="A205" s="269"/>
      <c r="C205" s="155"/>
    </row>
    <row r="206" spans="1:5">
      <c r="E206" s="155"/>
    </row>
    <row r="207" spans="1:5">
      <c r="A207" s="269"/>
      <c r="C207" s="155"/>
    </row>
    <row r="208" spans="1:5">
      <c r="E208" s="155"/>
    </row>
    <row r="209" spans="1:3">
      <c r="A209" s="269"/>
      <c r="C209" s="155"/>
    </row>
  </sheetData>
  <mergeCells count="16"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96C1F-BF10-40B5-B743-7F198337AE28}">
  <dimension ref="A6:R209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  <c r="L13" s="13"/>
    </row>
    <row r="14" spans="1:14" ht="15" thickBot="1">
      <c r="A14" s="1"/>
      <c r="B14" s="334" t="s">
        <v>3</v>
      </c>
      <c r="C14" s="335"/>
      <c r="D14" s="336"/>
      <c r="E14" s="17">
        <f>SUM(E15:E17)</f>
        <v>1902469.8499999999</v>
      </c>
      <c r="F14" s="150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37" t="s">
        <v>5</v>
      </c>
      <c r="C15" s="338"/>
      <c r="D15" s="339"/>
      <c r="E15" s="20">
        <f>J16+J17+J18+J19</f>
        <v>1762935.0899999999</v>
      </c>
      <c r="F15" s="153">
        <f>E15+E16+E17</f>
        <v>1902469.8499999999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349" t="s">
        <v>7</v>
      </c>
      <c r="C16" s="350"/>
      <c r="D16" s="351"/>
      <c r="E16" s="20">
        <f>G22+G23</f>
        <v>30787.11</v>
      </c>
      <c r="F16" s="153">
        <v>90000</v>
      </c>
      <c r="G16" s="22">
        <v>57198.32</v>
      </c>
      <c r="H16" s="23" t="s">
        <v>8</v>
      </c>
      <c r="I16" s="24"/>
      <c r="J16" s="25">
        <v>65140.22</v>
      </c>
      <c r="K16" s="26" t="s">
        <v>9</v>
      </c>
      <c r="L16" s="13"/>
      <c r="N16" s="3"/>
    </row>
    <row r="17" spans="2:18">
      <c r="B17" s="352" t="s">
        <v>6</v>
      </c>
      <c r="C17" s="353"/>
      <c r="D17" s="354"/>
      <c r="E17" s="28">
        <f>G16+G17+G18</f>
        <v>108747.65000000001</v>
      </c>
      <c r="F17" s="153">
        <f>+F15-F16</f>
        <v>1812469.8499999999</v>
      </c>
      <c r="G17" s="22">
        <v>10732.67</v>
      </c>
      <c r="H17" s="29" t="s">
        <v>10</v>
      </c>
      <c r="I17" s="30"/>
      <c r="J17" s="25">
        <v>11024.15</v>
      </c>
      <c r="K17" s="31" t="s">
        <v>10</v>
      </c>
      <c r="N17" s="3"/>
    </row>
    <row r="18" spans="2:18">
      <c r="B18" s="236" t="s">
        <v>187</v>
      </c>
      <c r="C18" s="237"/>
      <c r="D18" s="238"/>
      <c r="E18" s="28">
        <f>+J22</f>
        <v>14541.8</v>
      </c>
      <c r="F18" s="153"/>
      <c r="G18" s="22">
        <v>40816.660000000003</v>
      </c>
      <c r="H18" s="29" t="s">
        <v>12</v>
      </c>
      <c r="I18" s="30"/>
      <c r="J18" s="25">
        <v>1492484.34</v>
      </c>
      <c r="K18" s="31" t="s">
        <v>12</v>
      </c>
      <c r="L18" s="152"/>
      <c r="N18" s="3"/>
    </row>
    <row r="19" spans="2:18">
      <c r="B19" s="379" t="s">
        <v>11</v>
      </c>
      <c r="C19" s="380"/>
      <c r="D19" s="381"/>
      <c r="E19" s="20">
        <f>G29+G31+G30+G28</f>
        <v>814547.77</v>
      </c>
      <c r="F19" s="153"/>
      <c r="G19" s="33"/>
      <c r="H19" s="34"/>
      <c r="I19" s="30"/>
      <c r="J19" s="25">
        <v>194286.38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17319305.02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SUM(E22:E25)</f>
        <v>1514261.5999999999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159</v>
      </c>
      <c r="E22" s="190">
        <v>1478821.21</v>
      </c>
      <c r="F22" s="153"/>
      <c r="G22" s="44">
        <v>13819.44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187"/>
      <c r="C23" s="188"/>
      <c r="D23" s="198" t="s">
        <v>159</v>
      </c>
      <c r="E23" s="190">
        <v>35440.39</v>
      </c>
      <c r="F23" s="153"/>
      <c r="G23" s="44">
        <v>16967.669999999998</v>
      </c>
      <c r="H23" s="29" t="s">
        <v>18</v>
      </c>
      <c r="I23" s="30"/>
      <c r="J23" s="25"/>
      <c r="K23" s="31"/>
    </row>
    <row r="24" spans="2:18" ht="15" thickBot="1">
      <c r="B24" s="187"/>
      <c r="C24" s="188"/>
      <c r="D24" s="198"/>
      <c r="E24" s="190"/>
      <c r="F24" s="153"/>
      <c r="G24" s="51"/>
      <c r="H24" s="34"/>
      <c r="I24" s="30"/>
      <c r="J24" s="210"/>
      <c r="K24" s="53"/>
    </row>
    <row r="25" spans="2:18" ht="15" thickBot="1">
      <c r="B25" s="206"/>
      <c r="C25" s="205"/>
      <c r="D25" s="208"/>
      <c r="E25" s="190"/>
      <c r="F25" s="220"/>
      <c r="G25" s="331" t="s">
        <v>21</v>
      </c>
      <c r="H25" s="332"/>
      <c r="I25" s="332"/>
      <c r="J25" s="332"/>
      <c r="K25" s="333"/>
      <c r="N25" s="269"/>
      <c r="Q25" s="155"/>
      <c r="R25" s="155"/>
    </row>
    <row r="26" spans="2:18">
      <c r="B26" s="46" t="s">
        <v>17</v>
      </c>
      <c r="C26" s="47"/>
      <c r="D26" s="48"/>
      <c r="E26" s="234">
        <v>20350.689999999999</v>
      </c>
      <c r="F26" s="153">
        <f>+F17-E26</f>
        <v>1792119.16</v>
      </c>
      <c r="G26" s="54"/>
      <c r="H26" s="55"/>
      <c r="I26" s="56"/>
      <c r="J26" s="211"/>
      <c r="K26" s="58"/>
      <c r="N26" s="269"/>
      <c r="P26" s="155"/>
      <c r="R26" s="155"/>
    </row>
    <row r="27" spans="2:18">
      <c r="B27" s="202" t="s">
        <v>163</v>
      </c>
      <c r="C27" s="203"/>
      <c r="D27" s="204"/>
      <c r="E27" s="234">
        <v>90850.6</v>
      </c>
      <c r="F27" s="288">
        <f>SUM(E26:E32)</f>
        <v>111424.49</v>
      </c>
      <c r="G27" s="377" t="s">
        <v>5</v>
      </c>
      <c r="H27" s="378"/>
      <c r="I27" s="59"/>
      <c r="J27" s="60"/>
      <c r="K27" s="45"/>
    </row>
    <row r="28" spans="2:18">
      <c r="B28" s="199" t="s">
        <v>22</v>
      </c>
      <c r="C28" s="200"/>
      <c r="D28" s="201"/>
      <c r="E28" s="49">
        <v>223.2</v>
      </c>
      <c r="F28" s="153">
        <f>+F26-F27</f>
        <v>1680694.67</v>
      </c>
      <c r="G28" s="22">
        <f>23984.4-11500-8500</f>
        <v>3984.4000000000015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81</v>
      </c>
      <c r="C29" s="200"/>
      <c r="D29" s="201"/>
      <c r="E29" s="49">
        <v>0</v>
      </c>
      <c r="F29" s="221"/>
      <c r="G29" s="22">
        <f>955405.02- 154326.09</f>
        <v>801078.93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199" t="s">
        <v>24</v>
      </c>
      <c r="C30" s="200"/>
      <c r="D30" s="201"/>
      <c r="E30" s="49">
        <v>0</v>
      </c>
      <c r="F30" s="220"/>
      <c r="G30" s="67">
        <v>1747.46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44" t="s">
        <v>25</v>
      </c>
      <c r="C31" s="345"/>
      <c r="D31" s="346"/>
      <c r="E31" s="49">
        <v>0</v>
      </c>
      <c r="F31" s="220"/>
      <c r="G31" s="71">
        <f>399992.62-392255.64</f>
        <v>7736.9799999999814</v>
      </c>
      <c r="H31" s="72" t="s">
        <v>12</v>
      </c>
      <c r="I31" s="73"/>
      <c r="J31" s="74" t="s">
        <v>32</v>
      </c>
      <c r="K31" s="75" t="s">
        <v>33</v>
      </c>
    </row>
    <row r="32" spans="2:18" ht="15" thickBot="1">
      <c r="B32" s="363" t="s">
        <v>29</v>
      </c>
      <c r="C32" s="364"/>
      <c r="D32" s="365"/>
      <c r="E32" s="66">
        <v>0</v>
      </c>
      <c r="F32" s="220"/>
      <c r="N32" s="269"/>
      <c r="P32" s="155"/>
      <c r="R32" s="155"/>
    </row>
    <row r="33" spans="1:18">
      <c r="E33" s="61"/>
      <c r="F33" s="219"/>
    </row>
    <row r="34" spans="1:18">
      <c r="E34" s="61"/>
      <c r="F34" s="219"/>
      <c r="H34" s="61"/>
      <c r="I34" s="61"/>
      <c r="J34" s="13"/>
      <c r="K34" s="61"/>
      <c r="L34" s="61"/>
      <c r="M34" s="61"/>
      <c r="N34" s="269"/>
      <c r="P34" s="155"/>
      <c r="R34" s="155"/>
    </row>
    <row r="35" spans="1:18">
      <c r="E35" s="61"/>
      <c r="F35" s="219"/>
      <c r="H35" s="61"/>
      <c r="I35" s="61"/>
      <c r="J35" s="13"/>
      <c r="K35" s="61"/>
      <c r="L35" s="61"/>
      <c r="M35" s="61"/>
    </row>
    <row r="36" spans="1:18" s="61" customFormat="1" ht="15" customHeight="1">
      <c r="A36"/>
      <c r="B36"/>
      <c r="C36"/>
      <c r="D36"/>
      <c r="F36" s="219"/>
      <c r="G36" s="8"/>
      <c r="H36" s="13"/>
      <c r="J36" s="13"/>
      <c r="K36" s="83"/>
      <c r="L36" s="88"/>
      <c r="N36" s="272"/>
      <c r="P36" s="273"/>
      <c r="R36" s="273"/>
    </row>
    <row r="37" spans="1:18" s="61" customFormat="1" ht="15" customHeight="1">
      <c r="E37" s="161" t="s">
        <v>338</v>
      </c>
      <c r="F37" s="197"/>
      <c r="G37" s="181"/>
      <c r="H37" s="161"/>
      <c r="I37" s="197"/>
      <c r="J37" s="13"/>
      <c r="K37" s="83"/>
      <c r="L37" s="161"/>
      <c r="M37" s="197"/>
    </row>
    <row r="38" spans="1:18" s="61" customFormat="1" ht="15" customHeight="1">
      <c r="E38" s="161"/>
      <c r="F38" s="197"/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1:18" s="61" customFormat="1" ht="15" customHeight="1">
      <c r="E39" s="61" t="s">
        <v>34</v>
      </c>
      <c r="F39" s="197">
        <f>F17</f>
        <v>1812469.8499999999</v>
      </c>
      <c r="G39" s="86"/>
      <c r="I39" s="197"/>
      <c r="J39" s="13"/>
      <c r="K39" s="85"/>
      <c r="M39" s="197"/>
    </row>
    <row r="40" spans="1:18" s="61" customFormat="1" ht="15" customHeight="1">
      <c r="E40" s="61" t="s">
        <v>35</v>
      </c>
      <c r="F40" s="197">
        <f>+E19</f>
        <v>814547.77</v>
      </c>
      <c r="G40" s="86"/>
      <c r="I40" s="214"/>
      <c r="J40" s="13"/>
      <c r="K40" s="87"/>
      <c r="M40" s="197"/>
      <c r="N40" s="272"/>
      <c r="P40" s="273"/>
      <c r="R40" s="273"/>
    </row>
    <row r="41" spans="1:18" s="61" customFormat="1" ht="15" customHeight="1">
      <c r="E41" s="61" t="s">
        <v>36</v>
      </c>
      <c r="F41" s="197">
        <v>0</v>
      </c>
      <c r="G41" s="9"/>
      <c r="I41" s="197"/>
      <c r="J41" s="13"/>
      <c r="M41" s="197"/>
    </row>
    <row r="42" spans="1:18" s="61" customFormat="1" ht="15" customHeight="1">
      <c r="E42" s="61" t="s">
        <v>37</v>
      </c>
      <c r="F42" s="197">
        <v>0</v>
      </c>
      <c r="G42" s="9"/>
      <c r="I42" s="197"/>
      <c r="J42" s="13"/>
      <c r="M42" s="197"/>
      <c r="N42" s="272"/>
      <c r="P42" s="273"/>
      <c r="R42" s="273"/>
    </row>
    <row r="43" spans="1:18" s="61" customFormat="1" ht="15" customHeight="1">
      <c r="E43" s="163" t="s">
        <v>38</v>
      </c>
      <c r="F43" s="229">
        <f>SUM(F39:F42)</f>
        <v>2627017.62</v>
      </c>
      <c r="G43" s="9"/>
      <c r="H43" s="163"/>
      <c r="I43" s="229"/>
      <c r="J43" s="13"/>
      <c r="L43" s="163"/>
      <c r="M43" s="229"/>
    </row>
    <row r="44" spans="1:18" s="61" customFormat="1" ht="15" customHeight="1">
      <c r="E44" s="165"/>
      <c r="F44" s="230"/>
      <c r="G44" s="9"/>
      <c r="H44" s="165"/>
      <c r="I44" s="230"/>
      <c r="J44" s="13"/>
      <c r="L44" s="165"/>
      <c r="M44" s="230"/>
      <c r="N44" s="272"/>
      <c r="P44" s="273"/>
      <c r="R44" s="273"/>
    </row>
    <row r="45" spans="1:18" s="61" customFormat="1" ht="15" customHeight="1">
      <c r="E45" s="165" t="s">
        <v>152</v>
      </c>
      <c r="F45" s="230">
        <v>125000</v>
      </c>
      <c r="G45" s="9"/>
      <c r="H45" s="165"/>
      <c r="I45" s="230"/>
      <c r="J45" s="13"/>
    </row>
    <row r="46" spans="1:18" s="61" customFormat="1" ht="15" customHeight="1">
      <c r="E46" s="165" t="s">
        <v>180</v>
      </c>
      <c r="F46" s="230">
        <v>0</v>
      </c>
      <c r="G46" s="9"/>
      <c r="H46" s="91"/>
      <c r="I46" s="219"/>
      <c r="J46" s="13"/>
      <c r="N46" s="272"/>
      <c r="Q46" s="273"/>
      <c r="R46" s="273"/>
    </row>
    <row r="47" spans="1:18" s="61" customFormat="1">
      <c r="E47" s="165" t="s">
        <v>81</v>
      </c>
      <c r="F47" s="230">
        <v>0</v>
      </c>
      <c r="G47" s="8"/>
      <c r="H47" s="91"/>
      <c r="I47" s="219"/>
      <c r="J47" s="13"/>
      <c r="N47" s="272"/>
      <c r="Q47" s="273"/>
      <c r="R47" s="273"/>
    </row>
    <row r="48" spans="1:18" s="61" customFormat="1">
      <c r="E48" s="91" t="s">
        <v>24</v>
      </c>
      <c r="F48" s="219">
        <v>0</v>
      </c>
      <c r="G48" s="8"/>
      <c r="H48" s="91"/>
      <c r="I48" s="231"/>
      <c r="J48" s="13"/>
    </row>
    <row r="49" spans="1:13" s="61" customFormat="1">
      <c r="E49" s="91" t="s">
        <v>22</v>
      </c>
      <c r="F49" s="219">
        <v>35000</v>
      </c>
      <c r="G49" s="8"/>
      <c r="H49" s="96"/>
      <c r="I49" s="231"/>
      <c r="J49" s="262"/>
    </row>
    <row r="50" spans="1:13" s="61" customFormat="1">
      <c r="E50" s="91" t="s">
        <v>40</v>
      </c>
      <c r="F50" s="232">
        <f>150000-90000</f>
        <v>60000</v>
      </c>
      <c r="G50" s="82"/>
      <c r="H50" s="83"/>
      <c r="I50" s="228"/>
      <c r="J50" s="13"/>
    </row>
    <row r="51" spans="1:13" s="61" customFormat="1">
      <c r="E51" s="96" t="s">
        <v>41</v>
      </c>
      <c r="F51" s="231">
        <f>SUM(F45:F50)</f>
        <v>220000</v>
      </c>
      <c r="G51" s="82"/>
      <c r="H51" s="83"/>
      <c r="I51" s="233"/>
      <c r="J51" s="13"/>
      <c r="L51" s="91"/>
      <c r="M51" s="232"/>
    </row>
    <row r="52" spans="1:13" s="61" customFormat="1">
      <c r="E52" s="96" t="s">
        <v>42</v>
      </c>
      <c r="F52" s="231">
        <f>F43-F51</f>
        <v>2407017.62</v>
      </c>
      <c r="G52" s="82"/>
      <c r="H52" s="83"/>
      <c r="I52" s="233"/>
      <c r="J52" s="13"/>
      <c r="L52" s="91"/>
      <c r="M52" s="232"/>
    </row>
    <row r="53" spans="1:13" s="61" customFormat="1">
      <c r="F53" s="39"/>
      <c r="G53" s="82"/>
      <c r="H53" s="83"/>
      <c r="I53" s="233"/>
      <c r="J53" s="13"/>
      <c r="L53" s="96"/>
      <c r="M53" s="231"/>
    </row>
    <row r="54" spans="1:13" s="61" customFormat="1">
      <c r="E54" s="83" t="s">
        <v>43</v>
      </c>
      <c r="F54" s="151">
        <f>43800+180000</f>
        <v>223800</v>
      </c>
      <c r="G54" s="82"/>
      <c r="H54" s="96"/>
      <c r="I54" s="228"/>
      <c r="J54" s="13"/>
      <c r="L54" s="96"/>
      <c r="M54" s="233"/>
    </row>
    <row r="55" spans="1:13" s="61" customFormat="1">
      <c r="E55" s="83" t="s">
        <v>44</v>
      </c>
      <c r="F55" s="151">
        <v>365000</v>
      </c>
      <c r="G55" s="82"/>
      <c r="H55" s="83"/>
      <c r="I55" s="233"/>
      <c r="J55" s="13"/>
    </row>
    <row r="56" spans="1:13" s="61" customFormat="1">
      <c r="E56" s="83" t="s">
        <v>45</v>
      </c>
      <c r="F56" s="95">
        <v>0</v>
      </c>
      <c r="G56"/>
      <c r="H56" s="96"/>
      <c r="I56" s="219"/>
      <c r="J56" s="13"/>
      <c r="L56" s="83"/>
      <c r="M56" s="228"/>
    </row>
    <row r="57" spans="1:13">
      <c r="A57" s="61"/>
      <c r="B57" s="61"/>
      <c r="C57" s="61"/>
      <c r="D57" s="61"/>
      <c r="E57" s="83" t="s">
        <v>205</v>
      </c>
      <c r="F57" s="95">
        <v>0</v>
      </c>
      <c r="H57" s="61"/>
      <c r="I57" s="61"/>
      <c r="J57" s="13"/>
      <c r="K57" s="61"/>
      <c r="L57" s="61"/>
      <c r="M57" s="61"/>
    </row>
    <row r="58" spans="1:13">
      <c r="E58" s="83" t="s">
        <v>206</v>
      </c>
      <c r="F58" s="95">
        <v>0</v>
      </c>
      <c r="H58" s="61"/>
      <c r="I58" s="61"/>
      <c r="J58" s="13"/>
      <c r="K58" s="61"/>
      <c r="L58" s="61"/>
      <c r="M58" s="61"/>
    </row>
    <row r="59" spans="1:13">
      <c r="E59" s="96" t="s">
        <v>46</v>
      </c>
      <c r="F59" s="99">
        <f>SUM(F54:F58)</f>
        <v>588800</v>
      </c>
    </row>
    <row r="60" spans="1:13">
      <c r="E60" s="83"/>
      <c r="F60" s="151"/>
      <c r="G60" s="8"/>
    </row>
    <row r="61" spans="1:13">
      <c r="E61" s="96" t="s">
        <v>47</v>
      </c>
      <c r="F61" s="99">
        <f>F52-F59</f>
        <v>1818217.62</v>
      </c>
      <c r="G61" s="8"/>
    </row>
    <row r="62" spans="1:13">
      <c r="D62" s="247" t="s">
        <v>192</v>
      </c>
      <c r="E62" s="61"/>
      <c r="F62" s="219"/>
      <c r="G62" s="8"/>
    </row>
    <row r="63" spans="1:13">
      <c r="D63" s="247" t="s">
        <v>194</v>
      </c>
      <c r="E63" s="61"/>
      <c r="F63" s="219"/>
      <c r="G63" s="8"/>
    </row>
    <row r="64" spans="1:13">
      <c r="D64" s="8" t="s">
        <v>9</v>
      </c>
      <c r="E64" s="61"/>
      <c r="F64" s="219"/>
      <c r="G64" s="124">
        <f>SUM(E71:F71)</f>
        <v>0</v>
      </c>
    </row>
    <row r="65" spans="1:7">
      <c r="D65" s="8" t="s">
        <v>195</v>
      </c>
      <c r="E65" s="61"/>
      <c r="F65" s="219"/>
      <c r="G65" s="8"/>
    </row>
    <row r="66" spans="1:7">
      <c r="D66" s="8" t="s">
        <v>188</v>
      </c>
      <c r="E66" s="243"/>
      <c r="F66" s="243"/>
    </row>
    <row r="67" spans="1:7">
      <c r="D67" s="8"/>
      <c r="E67" s="243"/>
      <c r="F67" s="244"/>
    </row>
    <row r="68" spans="1:7">
      <c r="E68" s="245"/>
      <c r="F68" s="246"/>
    </row>
    <row r="69" spans="1:7">
      <c r="E69" s="276"/>
      <c r="F69" s="287"/>
    </row>
    <row r="70" spans="1:7">
      <c r="E70" s="276"/>
      <c r="F70" s="287"/>
    </row>
    <row r="71" spans="1:7">
      <c r="E71" s="127"/>
      <c r="F71" s="287"/>
    </row>
    <row r="72" spans="1:7">
      <c r="E72" s="79"/>
    </row>
    <row r="73" spans="1:7">
      <c r="A73" s="268"/>
      <c r="E73" s="79"/>
    </row>
    <row r="74" spans="1:7">
      <c r="E74" s="79"/>
    </row>
    <row r="75" spans="1:7">
      <c r="E75" s="79"/>
    </row>
    <row r="76" spans="1:7">
      <c r="B76" s="235"/>
      <c r="E76" s="79"/>
    </row>
    <row r="77" spans="1:7">
      <c r="E77" s="79"/>
    </row>
    <row r="78" spans="1:7">
      <c r="E78" s="277"/>
    </row>
    <row r="79" spans="1:7">
      <c r="A79" s="269"/>
      <c r="C79" s="155"/>
      <c r="E79" s="79"/>
    </row>
    <row r="80" spans="1:7">
      <c r="E80" s="277"/>
    </row>
    <row r="81" spans="1:5">
      <c r="A81" s="269"/>
      <c r="C81" s="155"/>
      <c r="E81" s="79"/>
    </row>
    <row r="82" spans="1:5">
      <c r="E82" s="277"/>
    </row>
    <row r="83" spans="1:5">
      <c r="A83" s="269"/>
      <c r="C83" s="155"/>
      <c r="E83" s="79"/>
    </row>
    <row r="84" spans="1:5">
      <c r="E84" s="277"/>
    </row>
    <row r="85" spans="1:5">
      <c r="A85" s="269"/>
      <c r="C85" s="155"/>
      <c r="E85" s="79"/>
    </row>
    <row r="86" spans="1:5">
      <c r="E86" s="277"/>
    </row>
    <row r="87" spans="1:5">
      <c r="A87" s="269"/>
      <c r="C87" s="155"/>
      <c r="E87" s="79"/>
    </row>
    <row r="88" spans="1:5">
      <c r="E88" s="277"/>
    </row>
    <row r="89" spans="1:5">
      <c r="A89" s="269"/>
      <c r="C89" s="155"/>
      <c r="E89" s="79"/>
    </row>
    <row r="90" spans="1:5">
      <c r="E90" s="277"/>
    </row>
    <row r="91" spans="1:5">
      <c r="A91" s="269"/>
      <c r="C91" s="155"/>
      <c r="E91" s="79"/>
    </row>
    <row r="92" spans="1:5">
      <c r="E92" s="277"/>
    </row>
    <row r="93" spans="1:5">
      <c r="A93" s="269"/>
      <c r="C93" s="155"/>
      <c r="E93" s="79"/>
    </row>
    <row r="94" spans="1:5">
      <c r="E94" s="277"/>
    </row>
    <row r="95" spans="1:5">
      <c r="A95" s="269"/>
      <c r="C95" s="155"/>
      <c r="E95" s="79"/>
    </row>
    <row r="96" spans="1:5">
      <c r="E96" s="277"/>
    </row>
    <row r="97" spans="1:5">
      <c r="A97" s="269"/>
      <c r="C97" s="155"/>
      <c r="E97" s="79"/>
    </row>
    <row r="98" spans="1:5">
      <c r="E98" s="277"/>
    </row>
    <row r="99" spans="1:5">
      <c r="A99" s="269"/>
      <c r="C99" s="155"/>
      <c r="E99" s="79"/>
    </row>
    <row r="100" spans="1:5">
      <c r="E100" s="277"/>
    </row>
    <row r="101" spans="1:5">
      <c r="A101" s="269"/>
      <c r="C101" s="155"/>
      <c r="E101" s="79"/>
    </row>
    <row r="102" spans="1:5">
      <c r="E102" s="277"/>
    </row>
    <row r="103" spans="1:5">
      <c r="A103" s="269"/>
      <c r="C103" s="155"/>
      <c r="E103" s="79"/>
    </row>
    <row r="104" spans="1:5">
      <c r="E104" s="277"/>
    </row>
    <row r="105" spans="1:5">
      <c r="A105" s="269"/>
      <c r="C105" s="155"/>
      <c r="E105" s="79"/>
    </row>
    <row r="106" spans="1:5">
      <c r="E106" s="277"/>
    </row>
    <row r="107" spans="1:5">
      <c r="A107" s="269"/>
      <c r="C107" s="155"/>
      <c r="E107" s="79"/>
    </row>
    <row r="108" spans="1:5">
      <c r="E108" s="277"/>
    </row>
    <row r="109" spans="1:5">
      <c r="A109" s="269"/>
      <c r="C109" s="155"/>
      <c r="E109" s="79"/>
    </row>
    <row r="110" spans="1:5">
      <c r="E110" s="277"/>
    </row>
    <row r="111" spans="1:5">
      <c r="A111" s="269"/>
      <c r="C111" s="155"/>
      <c r="E111" s="79"/>
    </row>
    <row r="112" spans="1:5">
      <c r="E112" s="277"/>
    </row>
    <row r="113" spans="1:5">
      <c r="A113" s="269"/>
      <c r="C113" s="155"/>
      <c r="E113" s="79"/>
    </row>
    <row r="114" spans="1:5">
      <c r="E114" s="277"/>
    </row>
    <row r="115" spans="1:5">
      <c r="A115" s="269"/>
      <c r="C115" s="155"/>
      <c r="E115" s="79"/>
    </row>
    <row r="116" spans="1:5">
      <c r="E116" s="277"/>
    </row>
    <row r="117" spans="1:5">
      <c r="A117" s="269"/>
      <c r="C117" s="155"/>
      <c r="E117" s="79"/>
    </row>
    <row r="118" spans="1:5">
      <c r="E118" s="277"/>
    </row>
    <row r="119" spans="1:5">
      <c r="A119" s="269"/>
      <c r="C119" s="155"/>
      <c r="E119" s="79"/>
    </row>
    <row r="120" spans="1:5">
      <c r="E120" s="277"/>
    </row>
    <row r="121" spans="1:5">
      <c r="A121" s="269"/>
      <c r="C121" s="155"/>
      <c r="E121" s="79"/>
    </row>
    <row r="122" spans="1:5">
      <c r="E122" s="277"/>
    </row>
    <row r="123" spans="1:5">
      <c r="A123" s="269"/>
      <c r="C123" s="155"/>
    </row>
    <row r="124" spans="1:5">
      <c r="E124" s="155"/>
    </row>
    <row r="125" spans="1:5">
      <c r="A125" s="269"/>
      <c r="C125" s="155"/>
    </row>
    <row r="126" spans="1:5">
      <c r="E126" s="155"/>
    </row>
    <row r="127" spans="1:5">
      <c r="A127" s="269"/>
      <c r="C127" s="155"/>
    </row>
    <row r="128" spans="1:5">
      <c r="E128" s="155"/>
    </row>
    <row r="129" spans="1:5">
      <c r="A129" s="269"/>
      <c r="C129" s="155"/>
    </row>
    <row r="130" spans="1:5">
      <c r="E130" s="155"/>
    </row>
    <row r="131" spans="1:5">
      <c r="A131" s="269"/>
      <c r="C131" s="155"/>
    </row>
    <row r="132" spans="1:5">
      <c r="E132" s="155"/>
    </row>
    <row r="133" spans="1:5">
      <c r="A133" s="269"/>
      <c r="C133" s="155"/>
    </row>
    <row r="134" spans="1:5">
      <c r="E134" s="155"/>
    </row>
    <row r="135" spans="1:5">
      <c r="A135" s="269"/>
      <c r="C135" s="155"/>
    </row>
    <row r="136" spans="1:5">
      <c r="E136" s="155"/>
    </row>
    <row r="137" spans="1:5">
      <c r="A137" s="269"/>
      <c r="C137" s="155"/>
    </row>
    <row r="138" spans="1:5">
      <c r="E138" s="155"/>
    </row>
    <row r="139" spans="1:5">
      <c r="A139" s="269"/>
      <c r="C139" s="155"/>
    </row>
    <row r="140" spans="1:5">
      <c r="E140" s="155"/>
    </row>
    <row r="141" spans="1:5">
      <c r="A141" s="269"/>
      <c r="C141" s="155"/>
    </row>
    <row r="142" spans="1:5">
      <c r="E142" s="155"/>
    </row>
    <row r="143" spans="1:5">
      <c r="A143" s="269"/>
      <c r="C143" s="155"/>
    </row>
    <row r="144" spans="1:5">
      <c r="E144" s="155"/>
    </row>
    <row r="145" spans="1:5">
      <c r="A145" s="269"/>
      <c r="C145" s="155"/>
    </row>
    <row r="146" spans="1:5">
      <c r="E146" s="155"/>
    </row>
    <row r="147" spans="1:5">
      <c r="A147" s="269"/>
      <c r="C147" s="155"/>
    </row>
    <row r="148" spans="1:5">
      <c r="E148" s="155"/>
    </row>
    <row r="149" spans="1:5">
      <c r="A149" s="269"/>
      <c r="C149" s="155"/>
    </row>
    <row r="150" spans="1:5">
      <c r="E150" s="155"/>
    </row>
    <row r="151" spans="1:5">
      <c r="A151" s="269"/>
      <c r="C151" s="155"/>
    </row>
    <row r="152" spans="1:5">
      <c r="E152" s="155"/>
    </row>
    <row r="153" spans="1:5">
      <c r="A153" s="269"/>
      <c r="C153" s="155"/>
    </row>
    <row r="154" spans="1:5">
      <c r="E154" s="155"/>
    </row>
    <row r="155" spans="1:5">
      <c r="A155" s="269"/>
      <c r="C155" s="155"/>
    </row>
    <row r="156" spans="1:5">
      <c r="E156" s="155"/>
    </row>
    <row r="157" spans="1:5">
      <c r="A157" s="269"/>
      <c r="C157" s="155"/>
    </row>
    <row r="158" spans="1:5">
      <c r="E158" s="155"/>
    </row>
    <row r="159" spans="1:5">
      <c r="A159" s="269"/>
      <c r="C159" s="155"/>
    </row>
    <row r="160" spans="1:5">
      <c r="E160" s="155"/>
    </row>
    <row r="161" spans="1:5">
      <c r="A161" s="269"/>
      <c r="C161" s="155"/>
    </row>
    <row r="162" spans="1:5">
      <c r="E162" s="155"/>
    </row>
    <row r="163" spans="1:5">
      <c r="A163" s="269"/>
      <c r="C163" s="155"/>
    </row>
    <row r="164" spans="1:5">
      <c r="E164" s="155"/>
    </row>
    <row r="165" spans="1:5">
      <c r="A165" s="269"/>
      <c r="C165" s="155"/>
    </row>
    <row r="166" spans="1:5">
      <c r="E166" s="155"/>
    </row>
    <row r="167" spans="1:5">
      <c r="A167" s="269"/>
      <c r="C167" s="155"/>
    </row>
    <row r="168" spans="1:5">
      <c r="E168" s="155"/>
    </row>
    <row r="169" spans="1:5">
      <c r="A169" s="269"/>
      <c r="C169" s="155"/>
    </row>
    <row r="170" spans="1:5">
      <c r="E170" s="155"/>
    </row>
    <row r="171" spans="1:5">
      <c r="A171" s="269"/>
      <c r="C171" s="155"/>
    </row>
    <row r="172" spans="1:5">
      <c r="E172" s="155"/>
    </row>
    <row r="173" spans="1:5">
      <c r="A173" s="269"/>
      <c r="C173" s="155"/>
    </row>
    <row r="174" spans="1:5">
      <c r="E174" s="155"/>
    </row>
    <row r="175" spans="1:5">
      <c r="A175" s="269"/>
      <c r="C175" s="155"/>
    </row>
    <row r="176" spans="1:5">
      <c r="E176" s="155"/>
    </row>
    <row r="177" spans="1:5">
      <c r="A177" s="269"/>
      <c r="C177" s="155"/>
    </row>
    <row r="178" spans="1:5">
      <c r="E178" s="155"/>
    </row>
    <row r="179" spans="1:5">
      <c r="A179" s="269"/>
      <c r="C179" s="155"/>
    </row>
    <row r="180" spans="1:5">
      <c r="E180" s="155"/>
    </row>
    <row r="181" spans="1:5">
      <c r="A181" s="269"/>
      <c r="C181" s="155"/>
    </row>
    <row r="182" spans="1:5">
      <c r="E182" s="155"/>
    </row>
    <row r="183" spans="1:5">
      <c r="A183" s="269"/>
      <c r="C183" s="155"/>
    </row>
    <row r="184" spans="1:5">
      <c r="E184" s="155"/>
    </row>
    <row r="185" spans="1:5">
      <c r="A185" s="269"/>
      <c r="C185" s="155"/>
    </row>
    <row r="186" spans="1:5">
      <c r="E186" s="155"/>
    </row>
    <row r="187" spans="1:5">
      <c r="A187" s="269"/>
      <c r="C187" s="155"/>
    </row>
    <row r="188" spans="1:5">
      <c r="E188" s="155"/>
    </row>
    <row r="189" spans="1:5">
      <c r="A189" s="269"/>
      <c r="C189" s="155"/>
    </row>
    <row r="190" spans="1:5">
      <c r="E190" s="155"/>
    </row>
    <row r="191" spans="1:5">
      <c r="A191" s="269"/>
      <c r="C191" s="155"/>
    </row>
    <row r="192" spans="1:5">
      <c r="E192" s="155"/>
    </row>
    <row r="193" spans="1:5">
      <c r="A193" s="269"/>
      <c r="C193" s="155"/>
    </row>
    <row r="194" spans="1:5">
      <c r="E194" s="155"/>
    </row>
    <row r="195" spans="1:5">
      <c r="A195" s="269"/>
      <c r="C195" s="155"/>
    </row>
    <row r="196" spans="1:5">
      <c r="E196" s="155"/>
    </row>
    <row r="197" spans="1:5">
      <c r="A197" s="269"/>
      <c r="C197" s="155"/>
    </row>
    <row r="198" spans="1:5">
      <c r="E198" s="155"/>
    </row>
    <row r="199" spans="1:5">
      <c r="A199" s="269"/>
      <c r="D199" s="155"/>
    </row>
    <row r="200" spans="1:5">
      <c r="E200" s="155"/>
    </row>
    <row r="201" spans="1:5">
      <c r="A201" s="269"/>
      <c r="C201" s="155"/>
    </row>
    <row r="202" spans="1:5">
      <c r="E202" s="155"/>
    </row>
    <row r="203" spans="1:5">
      <c r="A203" s="269"/>
      <c r="C203" s="155"/>
    </row>
    <row r="204" spans="1:5">
      <c r="E204" s="155"/>
    </row>
    <row r="205" spans="1:5">
      <c r="A205" s="269"/>
      <c r="C205" s="155"/>
    </row>
    <row r="206" spans="1:5">
      <c r="E206" s="155"/>
    </row>
    <row r="207" spans="1:5">
      <c r="A207" s="269"/>
      <c r="C207" s="155"/>
    </row>
    <row r="208" spans="1:5">
      <c r="E208" s="155"/>
    </row>
    <row r="209" spans="1:3">
      <c r="A209" s="269"/>
      <c r="C209" s="155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D3FBD-C787-41CF-AC1C-14068B3050A1}">
  <sheetPr>
    <pageSetUpPr fitToPage="1"/>
  </sheetPr>
  <dimension ref="A6:R213"/>
  <sheetViews>
    <sheetView showGridLines="0" topLeftCell="A38" workbookViewId="0">
      <selection activeCell="F47" sqref="F47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1"/>
      <c r="C13" s="1"/>
      <c r="D13" s="1"/>
      <c r="E13" s="1"/>
      <c r="F13" s="150"/>
      <c r="G13" s="11"/>
      <c r="H13" s="11"/>
      <c r="I13" s="11"/>
      <c r="J13" s="15"/>
      <c r="K13" s="16"/>
      <c r="L13" s="13"/>
    </row>
    <row r="14" spans="1:14" ht="15" thickBot="1">
      <c r="A14" s="1"/>
      <c r="B14" s="334" t="s">
        <v>3</v>
      </c>
      <c r="C14" s="335"/>
      <c r="D14" s="336"/>
      <c r="E14" s="17">
        <f>SUM(E15:E17)</f>
        <v>2115137.9500000002</v>
      </c>
      <c r="F14" s="150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37" t="s">
        <v>5</v>
      </c>
      <c r="C15" s="338"/>
      <c r="D15" s="339"/>
      <c r="E15" s="20">
        <f>J16+J17+J18+J19</f>
        <v>1979249.79</v>
      </c>
      <c r="F15" s="150">
        <f>E15+E16+E17</f>
        <v>2115137.9500000002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349" t="s">
        <v>7</v>
      </c>
      <c r="C16" s="350"/>
      <c r="D16" s="351"/>
      <c r="E16" s="20">
        <f>G22+G23</f>
        <v>26159.309999999998</v>
      </c>
      <c r="F16" s="150">
        <v>90000</v>
      </c>
      <c r="G16" s="22">
        <v>57198.32</v>
      </c>
      <c r="H16" s="23" t="s">
        <v>8</v>
      </c>
      <c r="I16" s="24"/>
      <c r="J16" s="25">
        <v>64801.5</v>
      </c>
      <c r="K16" s="26" t="s">
        <v>9</v>
      </c>
      <c r="L16" s="13"/>
      <c r="N16" s="3"/>
    </row>
    <row r="17" spans="2:18">
      <c r="B17" s="352" t="s">
        <v>6</v>
      </c>
      <c r="C17" s="353"/>
      <c r="D17" s="354"/>
      <c r="E17" s="28">
        <f>G16+G17+G18</f>
        <v>109728.85</v>
      </c>
      <c r="F17" s="150">
        <f>+F15-F16</f>
        <v>2025137.9500000002</v>
      </c>
      <c r="G17" s="22">
        <v>18022.87</v>
      </c>
      <c r="H17" s="29" t="s">
        <v>10</v>
      </c>
      <c r="I17" s="30"/>
      <c r="J17" s="25">
        <v>65914.89</v>
      </c>
      <c r="K17" s="31" t="s">
        <v>10</v>
      </c>
      <c r="N17" s="3"/>
    </row>
    <row r="18" spans="2:18">
      <c r="B18" s="236" t="s">
        <v>187</v>
      </c>
      <c r="C18" s="237"/>
      <c r="D18" s="238"/>
      <c r="E18" s="28">
        <f>+J22</f>
        <v>14541.8</v>
      </c>
      <c r="F18" s="150"/>
      <c r="G18" s="22">
        <v>34507.660000000003</v>
      </c>
      <c r="H18" s="29" t="s">
        <v>12</v>
      </c>
      <c r="I18" s="30"/>
      <c r="J18" s="25">
        <v>1654247.02</v>
      </c>
      <c r="K18" s="31" t="s">
        <v>12</v>
      </c>
      <c r="L18" s="152"/>
      <c r="N18" s="3"/>
    </row>
    <row r="19" spans="2:18">
      <c r="B19" s="379" t="s">
        <v>11</v>
      </c>
      <c r="C19" s="380"/>
      <c r="D19" s="381"/>
      <c r="E19" s="20">
        <f>G29+G31+G30+G28</f>
        <v>715311.29</v>
      </c>
      <c r="F19" s="150"/>
      <c r="G19" s="33"/>
      <c r="H19" s="34"/>
      <c r="I19" s="30"/>
      <c r="J19" s="25">
        <v>194286.38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15248656.17</v>
      </c>
      <c r="F20" s="150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SUM(E22:E25)</f>
        <v>156081.28</v>
      </c>
      <c r="F21" s="150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344</v>
      </c>
      <c r="E22" s="190">
        <v>10923.94</v>
      </c>
      <c r="F22" s="150"/>
      <c r="G22" s="44">
        <v>9191.64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187"/>
      <c r="C23" s="188"/>
      <c r="D23" s="198" t="s">
        <v>343</v>
      </c>
      <c r="E23" s="190">
        <v>145157.34</v>
      </c>
      <c r="F23" s="150"/>
      <c r="G23" s="44">
        <v>16967.669999999998</v>
      </c>
      <c r="H23" s="29" t="s">
        <v>18</v>
      </c>
      <c r="I23" s="30"/>
      <c r="J23" s="25"/>
      <c r="K23" s="31"/>
    </row>
    <row r="24" spans="2:18" ht="15" thickBot="1">
      <c r="B24" s="187"/>
      <c r="C24" s="188"/>
      <c r="D24" s="198"/>
      <c r="E24" s="190"/>
      <c r="F24" s="150"/>
      <c r="G24" s="51"/>
      <c r="H24" s="34"/>
      <c r="I24" s="30"/>
      <c r="J24" s="210"/>
      <c r="K24" s="53"/>
    </row>
    <row r="25" spans="2:18" ht="15" thickBot="1">
      <c r="B25" s="206"/>
      <c r="C25" s="205"/>
      <c r="D25" s="208"/>
      <c r="E25" s="190"/>
      <c r="F25" s="219"/>
      <c r="G25" s="331" t="s">
        <v>21</v>
      </c>
      <c r="H25" s="332"/>
      <c r="I25" s="332"/>
      <c r="J25" s="332"/>
      <c r="K25" s="333"/>
      <c r="N25" s="269"/>
      <c r="Q25" s="155"/>
      <c r="R25" s="155"/>
    </row>
    <row r="26" spans="2:18">
      <c r="B26" s="46" t="s">
        <v>17</v>
      </c>
      <c r="C26" s="47"/>
      <c r="D26" s="48"/>
      <c r="E26" s="234">
        <v>0</v>
      </c>
      <c r="F26" s="150">
        <f>+F17-E26</f>
        <v>2025137.9500000002</v>
      </c>
      <c r="G26" s="54"/>
      <c r="H26" s="55"/>
      <c r="I26" s="56"/>
      <c r="J26" s="211"/>
      <c r="K26" s="58"/>
      <c r="N26" s="269"/>
      <c r="P26" s="155"/>
      <c r="R26" s="155"/>
    </row>
    <row r="27" spans="2:18">
      <c r="B27" s="202" t="s">
        <v>163</v>
      </c>
      <c r="C27" s="203"/>
      <c r="D27" s="204"/>
      <c r="E27" s="234">
        <v>0</v>
      </c>
      <c r="F27" s="289">
        <f>SUM(E26:E32)</f>
        <v>423099.6</v>
      </c>
      <c r="G27" s="377" t="s">
        <v>5</v>
      </c>
      <c r="H27" s="378"/>
      <c r="I27" s="59"/>
      <c r="J27" s="60"/>
      <c r="K27" s="45"/>
    </row>
    <row r="28" spans="2:18">
      <c r="B28" s="199" t="s">
        <v>22</v>
      </c>
      <c r="C28" s="200"/>
      <c r="D28" s="201"/>
      <c r="E28" s="49">
        <v>23099.599999999999</v>
      </c>
      <c r="F28" s="150">
        <f>+F26-F27</f>
        <v>1602038.35</v>
      </c>
      <c r="G28" s="22">
        <f>23996.04-11500-8500</f>
        <v>3996.0400000000009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81</v>
      </c>
      <c r="C29" s="200"/>
      <c r="D29" s="201"/>
      <c r="E29" s="49">
        <v>0</v>
      </c>
      <c r="F29" s="228"/>
      <c r="G29" s="22">
        <f>855840.5- 154326.09</f>
        <v>701514.41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199" t="s">
        <v>24</v>
      </c>
      <c r="C30" s="200"/>
      <c r="D30" s="201"/>
      <c r="E30" s="49">
        <v>400000</v>
      </c>
      <c r="F30" s="219"/>
      <c r="G30" s="67">
        <v>1747.46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44" t="s">
        <v>25</v>
      </c>
      <c r="C31" s="345"/>
      <c r="D31" s="346"/>
      <c r="E31" s="49">
        <v>0</v>
      </c>
      <c r="F31" s="219"/>
      <c r="G31" s="71">
        <f>400309.02-392255.64</f>
        <v>8053.3800000000047</v>
      </c>
      <c r="H31" s="72" t="s">
        <v>12</v>
      </c>
      <c r="I31" s="73"/>
      <c r="J31" s="74" t="s">
        <v>32</v>
      </c>
      <c r="K31" s="75" t="s">
        <v>33</v>
      </c>
    </row>
    <row r="32" spans="2:18" ht="15" thickBot="1">
      <c r="B32" s="363" t="s">
        <v>29</v>
      </c>
      <c r="C32" s="364"/>
      <c r="D32" s="365"/>
      <c r="E32" s="66">
        <v>0</v>
      </c>
      <c r="F32" s="219"/>
      <c r="N32" s="269"/>
      <c r="P32" s="155"/>
      <c r="R32" s="155"/>
    </row>
    <row r="33" spans="1:18">
      <c r="E33" s="61"/>
      <c r="F33" s="219"/>
    </row>
    <row r="34" spans="1:18">
      <c r="E34" s="61"/>
      <c r="F34" s="219"/>
      <c r="H34" s="61"/>
      <c r="I34" s="61"/>
      <c r="J34" s="13"/>
      <c r="K34" s="61"/>
      <c r="L34" s="61"/>
      <c r="M34" s="61"/>
      <c r="N34" s="269"/>
      <c r="P34" s="155"/>
      <c r="R34" s="155"/>
    </row>
    <row r="35" spans="1:18">
      <c r="E35" s="61"/>
      <c r="F35" s="219"/>
      <c r="H35" s="61"/>
      <c r="I35" s="61"/>
      <c r="J35" s="13"/>
      <c r="K35" s="61"/>
      <c r="L35" s="61"/>
      <c r="M35" s="61"/>
    </row>
    <row r="36" spans="1:18" s="61" customFormat="1" ht="15" customHeight="1">
      <c r="A36"/>
      <c r="B36"/>
      <c r="C36"/>
      <c r="D36"/>
      <c r="F36" s="219"/>
      <c r="G36" s="8"/>
      <c r="H36" s="13"/>
      <c r="J36" s="13"/>
      <c r="K36" s="83"/>
      <c r="L36" s="88"/>
      <c r="N36" s="272"/>
      <c r="P36" s="273"/>
      <c r="R36" s="273"/>
    </row>
    <row r="37" spans="1:18" s="61" customFormat="1" ht="15" customHeight="1">
      <c r="E37" s="161" t="s">
        <v>345</v>
      </c>
      <c r="F37" s="197"/>
      <c r="G37" s="181"/>
      <c r="H37" s="161"/>
      <c r="I37" s="197"/>
      <c r="J37" s="13"/>
      <c r="K37" s="83"/>
      <c r="L37" s="161"/>
      <c r="M37" s="197"/>
    </row>
    <row r="38" spans="1:18" s="61" customFormat="1" ht="15" customHeight="1">
      <c r="E38" s="161"/>
      <c r="F38" s="197"/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1:18" s="61" customFormat="1" ht="15" customHeight="1">
      <c r="E39" s="61" t="s">
        <v>34</v>
      </c>
      <c r="F39" s="197">
        <f>F17</f>
        <v>2025137.9500000002</v>
      </c>
      <c r="G39" s="86"/>
      <c r="I39" s="197"/>
      <c r="J39" s="13"/>
      <c r="K39" s="85"/>
      <c r="M39" s="197"/>
    </row>
    <row r="40" spans="1:18" s="61" customFormat="1" ht="15" customHeight="1">
      <c r="E40" s="61" t="s">
        <v>35</v>
      </c>
      <c r="F40" s="197">
        <f>+E19</f>
        <v>715311.29</v>
      </c>
      <c r="G40" s="86"/>
      <c r="I40" s="214"/>
      <c r="J40" s="13"/>
      <c r="K40" s="87"/>
      <c r="M40" s="197"/>
      <c r="N40" s="272"/>
      <c r="P40" s="273"/>
      <c r="R40" s="273"/>
    </row>
    <row r="41" spans="1:18" s="61" customFormat="1" ht="15" customHeight="1">
      <c r="E41" s="61" t="s">
        <v>36</v>
      </c>
      <c r="F41" s="197">
        <v>0</v>
      </c>
      <c r="G41" s="9"/>
      <c r="I41" s="197"/>
      <c r="J41" s="13"/>
      <c r="M41" s="197"/>
    </row>
    <row r="42" spans="1:18" s="61" customFormat="1" ht="15" customHeight="1">
      <c r="E42" s="61" t="s">
        <v>37</v>
      </c>
      <c r="F42" s="197">
        <v>0</v>
      </c>
      <c r="G42" s="9"/>
      <c r="I42" s="197"/>
      <c r="J42" s="13"/>
      <c r="M42" s="197"/>
      <c r="N42" s="272"/>
      <c r="P42" s="273"/>
      <c r="R42" s="273"/>
    </row>
    <row r="43" spans="1:18" s="61" customFormat="1" ht="15" customHeight="1">
      <c r="E43" s="163" t="s">
        <v>38</v>
      </c>
      <c r="F43" s="229">
        <f>SUM(F39:F42)</f>
        <v>2740449.24</v>
      </c>
      <c r="G43" s="9"/>
      <c r="H43" s="163"/>
      <c r="I43" s="229"/>
      <c r="J43" s="13"/>
      <c r="L43" s="163"/>
      <c r="M43" s="229"/>
    </row>
    <row r="44" spans="1:18" s="61" customFormat="1" ht="15" customHeight="1">
      <c r="E44" s="165"/>
      <c r="F44" s="230"/>
      <c r="G44" s="9"/>
      <c r="H44" s="165"/>
      <c r="I44" s="230"/>
      <c r="J44" s="13"/>
      <c r="L44" s="165"/>
      <c r="M44" s="230"/>
      <c r="N44" s="272"/>
      <c r="P44" s="273"/>
      <c r="R44" s="273"/>
    </row>
    <row r="45" spans="1:18" s="61" customFormat="1" ht="15" customHeight="1">
      <c r="E45" s="165" t="s">
        <v>152</v>
      </c>
      <c r="F45" s="230">
        <v>115000</v>
      </c>
      <c r="G45" s="9"/>
      <c r="H45" s="165"/>
      <c r="I45" s="230"/>
      <c r="J45" s="13"/>
    </row>
    <row r="46" spans="1:18" s="61" customFormat="1" ht="15" customHeight="1">
      <c r="E46" s="165" t="s">
        <v>189</v>
      </c>
      <c r="F46" s="230">
        <v>1200000</v>
      </c>
      <c r="G46" s="9"/>
      <c r="H46" s="165"/>
      <c r="I46" s="230"/>
      <c r="J46" s="13"/>
    </row>
    <row r="47" spans="1:18" s="61" customFormat="1" ht="15" customHeight="1">
      <c r="E47" s="165" t="s">
        <v>78</v>
      </c>
      <c r="F47" s="230">
        <v>115000</v>
      </c>
      <c r="G47" s="9"/>
      <c r="H47" s="165"/>
      <c r="I47" s="230"/>
      <c r="J47" s="13"/>
    </row>
    <row r="48" spans="1:18" s="61" customFormat="1" ht="15" customHeight="1">
      <c r="E48" s="165" t="s">
        <v>105</v>
      </c>
      <c r="F48" s="230">
        <v>65000</v>
      </c>
      <c r="G48" s="9"/>
      <c r="H48" s="165"/>
      <c r="I48" s="230"/>
      <c r="J48" s="13"/>
    </row>
    <row r="49" spans="1:13" s="61" customFormat="1" ht="15" customHeight="1">
      <c r="E49" s="165" t="s">
        <v>69</v>
      </c>
      <c r="F49" s="230">
        <v>60000</v>
      </c>
      <c r="G49" s="9"/>
      <c r="H49" s="165"/>
      <c r="I49" s="230"/>
      <c r="J49" s="13"/>
    </row>
    <row r="50" spans="1:13" s="61" customFormat="1">
      <c r="E50" s="91" t="s">
        <v>24</v>
      </c>
      <c r="F50" s="219">
        <f>15000+65000+100000+220000</f>
        <v>400000</v>
      </c>
      <c r="G50" s="8"/>
      <c r="H50" s="91"/>
      <c r="I50" s="231"/>
      <c r="J50" s="13"/>
    </row>
    <row r="51" spans="1:13" s="61" customFormat="1">
      <c r="E51" s="91" t="s">
        <v>22</v>
      </c>
      <c r="F51" s="219">
        <v>50000</v>
      </c>
      <c r="G51" s="8"/>
      <c r="H51" s="96"/>
      <c r="I51" s="231"/>
      <c r="J51" s="262"/>
    </row>
    <row r="52" spans="1:13" s="61" customFormat="1">
      <c r="E52" s="91" t="s">
        <v>346</v>
      </c>
      <c r="F52" s="219">
        <v>100000</v>
      </c>
      <c r="G52" s="8"/>
      <c r="H52" s="96"/>
      <c r="I52" s="231"/>
      <c r="J52" s="262"/>
    </row>
    <row r="53" spans="1:13" s="61" customFormat="1">
      <c r="E53" s="91" t="s">
        <v>347</v>
      </c>
      <c r="F53" s="219">
        <v>500000</v>
      </c>
      <c r="G53" s="8"/>
      <c r="H53" s="96"/>
      <c r="I53" s="231"/>
      <c r="J53" s="262"/>
    </row>
    <row r="54" spans="1:13" s="61" customFormat="1">
      <c r="E54" s="91" t="s">
        <v>40</v>
      </c>
      <c r="F54" s="232">
        <v>120000</v>
      </c>
      <c r="G54" s="82"/>
      <c r="H54" s="83"/>
      <c r="I54" s="228"/>
      <c r="J54" s="13"/>
    </row>
    <row r="55" spans="1:13" s="61" customFormat="1">
      <c r="E55" s="96" t="s">
        <v>41</v>
      </c>
      <c r="F55" s="231">
        <f>SUM(F45:F54)</f>
        <v>2725000</v>
      </c>
      <c r="G55" s="82"/>
      <c r="H55" s="83"/>
      <c r="I55" s="233"/>
      <c r="J55" s="13"/>
      <c r="L55" s="91"/>
      <c r="M55" s="232"/>
    </row>
    <row r="56" spans="1:13" s="61" customFormat="1">
      <c r="E56" s="96" t="s">
        <v>42</v>
      </c>
      <c r="F56" s="231">
        <f>F43-F55</f>
        <v>15449.240000000224</v>
      </c>
      <c r="G56" s="82"/>
      <c r="H56" s="83"/>
      <c r="I56" s="233"/>
      <c r="J56" s="13"/>
      <c r="L56" s="91"/>
      <c r="M56" s="232"/>
    </row>
    <row r="57" spans="1:13" s="61" customFormat="1">
      <c r="F57" s="39"/>
      <c r="G57" s="82"/>
      <c r="H57" s="83"/>
      <c r="I57" s="233"/>
      <c r="J57" s="13"/>
      <c r="L57" s="96"/>
      <c r="M57" s="231"/>
    </row>
    <row r="58" spans="1:13" s="61" customFormat="1">
      <c r="E58" s="83" t="s">
        <v>43</v>
      </c>
      <c r="F58" s="151">
        <f>43800+180000</f>
        <v>223800</v>
      </c>
      <c r="G58" s="82"/>
      <c r="H58" s="96"/>
      <c r="I58" s="228"/>
      <c r="J58" s="13"/>
      <c r="L58" s="96"/>
      <c r="M58" s="233"/>
    </row>
    <row r="59" spans="1:13" s="61" customFormat="1">
      <c r="E59" s="83" t="s">
        <v>44</v>
      </c>
      <c r="F59" s="151">
        <v>365000</v>
      </c>
      <c r="G59" s="82"/>
      <c r="H59" s="83"/>
      <c r="I59" s="233"/>
      <c r="J59" s="13"/>
    </row>
    <row r="60" spans="1:13" s="61" customFormat="1">
      <c r="E60" s="83" t="s">
        <v>45</v>
      </c>
      <c r="F60" s="95">
        <v>0</v>
      </c>
      <c r="G60"/>
      <c r="H60" s="96"/>
      <c r="I60" s="219"/>
      <c r="J60" s="13"/>
      <c r="L60" s="83"/>
      <c r="M60" s="228"/>
    </row>
    <row r="61" spans="1:13">
      <c r="A61" s="61"/>
      <c r="B61" s="61"/>
      <c r="C61" s="61"/>
      <c r="D61" s="61"/>
      <c r="E61" s="83" t="s">
        <v>205</v>
      </c>
      <c r="F61" s="95">
        <v>0</v>
      </c>
      <c r="H61" s="61"/>
      <c r="I61" s="61"/>
      <c r="J61" s="13"/>
      <c r="K61" s="61"/>
      <c r="L61" s="61"/>
      <c r="M61" s="61"/>
    </row>
    <row r="62" spans="1:13">
      <c r="E62" s="83" t="s">
        <v>206</v>
      </c>
      <c r="F62" s="95">
        <v>0</v>
      </c>
      <c r="H62" s="61"/>
      <c r="I62" s="61"/>
      <c r="J62" s="13"/>
      <c r="K62" s="61"/>
      <c r="L62" s="61"/>
      <c r="M62" s="61"/>
    </row>
    <row r="63" spans="1:13">
      <c r="E63" s="96" t="s">
        <v>46</v>
      </c>
      <c r="F63" s="99">
        <f>SUM(F58:F62)</f>
        <v>588800</v>
      </c>
    </row>
    <row r="64" spans="1:13">
      <c r="E64" s="83"/>
      <c r="F64" s="151"/>
      <c r="G64" s="8"/>
    </row>
    <row r="65" spans="1:7">
      <c r="E65" s="96" t="s">
        <v>47</v>
      </c>
      <c r="F65" s="99">
        <f>F56-F63</f>
        <v>-573350.75999999978</v>
      </c>
      <c r="G65" s="8"/>
    </row>
    <row r="66" spans="1:7">
      <c r="D66" s="247" t="s">
        <v>192</v>
      </c>
      <c r="E66" s="61"/>
      <c r="F66" s="219"/>
      <c r="G66" s="8"/>
    </row>
    <row r="67" spans="1:7">
      <c r="D67" s="247" t="s">
        <v>194</v>
      </c>
      <c r="E67" s="61"/>
      <c r="F67" s="219"/>
      <c r="G67" s="8"/>
    </row>
    <row r="68" spans="1:7">
      <c r="D68" s="8" t="s">
        <v>9</v>
      </c>
      <c r="E68" s="61"/>
      <c r="F68" s="219"/>
      <c r="G68" s="124">
        <f>SUM(E75:F75)</f>
        <v>0</v>
      </c>
    </row>
    <row r="69" spans="1:7">
      <c r="D69" s="8" t="s">
        <v>195</v>
      </c>
      <c r="E69" s="61"/>
      <c r="F69" s="219"/>
      <c r="G69" s="8"/>
    </row>
    <row r="70" spans="1:7">
      <c r="D70" s="8" t="s">
        <v>188</v>
      </c>
      <c r="E70" s="243"/>
      <c r="F70" s="243"/>
    </row>
    <row r="71" spans="1:7">
      <c r="D71" s="8"/>
      <c r="E71" s="243"/>
      <c r="F71" s="244"/>
    </row>
    <row r="72" spans="1:7">
      <c r="E72" s="245"/>
      <c r="F72" s="246"/>
    </row>
    <row r="73" spans="1:7">
      <c r="E73" s="276"/>
      <c r="F73" s="287"/>
    </row>
    <row r="74" spans="1:7">
      <c r="E74" s="276"/>
      <c r="F74" s="287"/>
    </row>
    <row r="75" spans="1:7">
      <c r="E75" s="127"/>
      <c r="F75" s="287"/>
    </row>
    <row r="76" spans="1:7">
      <c r="E76" s="79"/>
    </row>
    <row r="77" spans="1:7">
      <c r="A77" s="268"/>
      <c r="E77" s="79"/>
    </row>
    <row r="78" spans="1:7">
      <c r="E78" s="79"/>
    </row>
    <row r="79" spans="1:7">
      <c r="E79" s="79"/>
    </row>
    <row r="80" spans="1:7">
      <c r="B80" s="235"/>
      <c r="E80" s="79"/>
    </row>
    <row r="81" spans="1:5">
      <c r="E81" s="79"/>
    </row>
    <row r="82" spans="1:5">
      <c r="E82" s="277"/>
    </row>
    <row r="83" spans="1:5">
      <c r="A83" s="269"/>
      <c r="C83" s="155"/>
      <c r="E83" s="79"/>
    </row>
    <row r="84" spans="1:5">
      <c r="E84" s="277"/>
    </row>
    <row r="85" spans="1:5">
      <c r="A85" s="269"/>
      <c r="C85" s="155"/>
      <c r="E85" s="79"/>
    </row>
    <row r="86" spans="1:5">
      <c r="E86" s="277"/>
    </row>
    <row r="87" spans="1:5">
      <c r="A87" s="269"/>
      <c r="C87" s="155"/>
      <c r="E87" s="79"/>
    </row>
    <row r="88" spans="1:5">
      <c r="E88" s="277"/>
    </row>
    <row r="89" spans="1:5">
      <c r="A89" s="269"/>
      <c r="C89" s="155"/>
      <c r="E89" s="79"/>
    </row>
    <row r="90" spans="1:5">
      <c r="E90" s="277"/>
    </row>
    <row r="91" spans="1:5">
      <c r="A91" s="269"/>
      <c r="C91" s="155"/>
      <c r="E91" s="79"/>
    </row>
    <row r="92" spans="1:5">
      <c r="E92" s="277"/>
    </row>
    <row r="93" spans="1:5">
      <c r="A93" s="269"/>
      <c r="C93" s="155"/>
      <c r="E93" s="79"/>
    </row>
    <row r="94" spans="1:5">
      <c r="E94" s="277"/>
    </row>
    <row r="95" spans="1:5">
      <c r="A95" s="269"/>
      <c r="C95" s="155"/>
      <c r="E95" s="79"/>
    </row>
    <row r="96" spans="1:5">
      <c r="E96" s="277"/>
    </row>
    <row r="97" spans="1:5">
      <c r="A97" s="269"/>
      <c r="C97" s="155"/>
      <c r="E97" s="79"/>
    </row>
    <row r="98" spans="1:5">
      <c r="E98" s="277"/>
    </row>
    <row r="99" spans="1:5">
      <c r="A99" s="269"/>
      <c r="C99" s="155"/>
      <c r="E99" s="79"/>
    </row>
    <row r="100" spans="1:5">
      <c r="E100" s="277"/>
    </row>
    <row r="101" spans="1:5">
      <c r="A101" s="269"/>
      <c r="C101" s="155"/>
      <c r="E101" s="79"/>
    </row>
    <row r="102" spans="1:5">
      <c r="E102" s="277"/>
    </row>
    <row r="103" spans="1:5">
      <c r="A103" s="269"/>
      <c r="C103" s="155"/>
      <c r="E103" s="79"/>
    </row>
    <row r="104" spans="1:5">
      <c r="E104" s="277"/>
    </row>
    <row r="105" spans="1:5">
      <c r="A105" s="269"/>
      <c r="C105" s="155"/>
      <c r="E105" s="79"/>
    </row>
    <row r="106" spans="1:5">
      <c r="E106" s="277"/>
    </row>
    <row r="107" spans="1:5">
      <c r="A107" s="269"/>
      <c r="C107" s="155"/>
      <c r="E107" s="79"/>
    </row>
    <row r="108" spans="1:5">
      <c r="E108" s="277"/>
    </row>
    <row r="109" spans="1:5">
      <c r="A109" s="269"/>
      <c r="C109" s="155"/>
      <c r="E109" s="79"/>
    </row>
    <row r="110" spans="1:5">
      <c r="E110" s="277"/>
    </row>
    <row r="111" spans="1:5">
      <c r="A111" s="269"/>
      <c r="C111" s="155"/>
      <c r="E111" s="79"/>
    </row>
    <row r="112" spans="1:5">
      <c r="E112" s="277"/>
    </row>
    <row r="113" spans="1:5">
      <c r="A113" s="269"/>
      <c r="C113" s="155"/>
      <c r="E113" s="79"/>
    </row>
    <row r="114" spans="1:5">
      <c r="E114" s="277"/>
    </row>
    <row r="115" spans="1:5">
      <c r="A115" s="269"/>
      <c r="C115" s="155"/>
      <c r="E115" s="79"/>
    </row>
    <row r="116" spans="1:5">
      <c r="E116" s="277"/>
    </row>
    <row r="117" spans="1:5">
      <c r="A117" s="269"/>
      <c r="C117" s="155"/>
      <c r="E117" s="79"/>
    </row>
    <row r="118" spans="1:5">
      <c r="E118" s="277"/>
    </row>
    <row r="119" spans="1:5">
      <c r="A119" s="269"/>
      <c r="C119" s="155"/>
      <c r="E119" s="79"/>
    </row>
    <row r="120" spans="1:5">
      <c r="E120" s="277"/>
    </row>
    <row r="121" spans="1:5">
      <c r="A121" s="269"/>
      <c r="C121" s="155"/>
      <c r="E121" s="79"/>
    </row>
    <row r="122" spans="1:5">
      <c r="E122" s="277"/>
    </row>
    <row r="123" spans="1:5">
      <c r="A123" s="269"/>
      <c r="C123" s="155"/>
      <c r="E123" s="79"/>
    </row>
    <row r="124" spans="1:5">
      <c r="E124" s="277"/>
    </row>
    <row r="125" spans="1:5">
      <c r="A125" s="269"/>
      <c r="C125" s="155"/>
      <c r="E125" s="79"/>
    </row>
    <row r="126" spans="1:5">
      <c r="E126" s="277"/>
    </row>
    <row r="127" spans="1:5">
      <c r="A127" s="269"/>
      <c r="C127" s="155"/>
    </row>
    <row r="128" spans="1:5">
      <c r="E128" s="155"/>
    </row>
    <row r="129" spans="1:5">
      <c r="A129" s="269"/>
      <c r="C129" s="155"/>
    </row>
    <row r="130" spans="1:5">
      <c r="E130" s="155"/>
    </row>
    <row r="131" spans="1:5">
      <c r="A131" s="269"/>
      <c r="C131" s="155"/>
    </row>
    <row r="132" spans="1:5">
      <c r="E132" s="155"/>
    </row>
    <row r="133" spans="1:5">
      <c r="A133" s="269"/>
      <c r="C133" s="155"/>
    </row>
    <row r="134" spans="1:5">
      <c r="E134" s="155"/>
    </row>
    <row r="135" spans="1:5">
      <c r="A135" s="269"/>
      <c r="C135" s="155"/>
    </row>
    <row r="136" spans="1:5">
      <c r="E136" s="155"/>
    </row>
    <row r="137" spans="1:5">
      <c r="A137" s="269"/>
      <c r="C137" s="155"/>
    </row>
    <row r="138" spans="1:5">
      <c r="E138" s="155"/>
    </row>
    <row r="139" spans="1:5">
      <c r="A139" s="269"/>
      <c r="C139" s="155"/>
    </row>
    <row r="140" spans="1:5">
      <c r="E140" s="155"/>
    </row>
    <row r="141" spans="1:5">
      <c r="A141" s="269"/>
      <c r="C141" s="155"/>
    </row>
    <row r="142" spans="1:5">
      <c r="E142" s="155"/>
    </row>
    <row r="143" spans="1:5">
      <c r="A143" s="269"/>
      <c r="C143" s="155"/>
    </row>
    <row r="144" spans="1:5">
      <c r="E144" s="155"/>
    </row>
    <row r="145" spans="1:5">
      <c r="A145" s="269"/>
      <c r="C145" s="155"/>
    </row>
    <row r="146" spans="1:5">
      <c r="E146" s="155"/>
    </row>
    <row r="147" spans="1:5">
      <c r="A147" s="269"/>
      <c r="C147" s="155"/>
    </row>
    <row r="148" spans="1:5">
      <c r="E148" s="155"/>
    </row>
    <row r="149" spans="1:5">
      <c r="A149" s="269"/>
      <c r="C149" s="155"/>
    </row>
    <row r="150" spans="1:5">
      <c r="E150" s="155"/>
    </row>
    <row r="151" spans="1:5">
      <c r="A151" s="269"/>
      <c r="C151" s="155"/>
    </row>
    <row r="152" spans="1:5">
      <c r="E152" s="155"/>
    </row>
    <row r="153" spans="1:5">
      <c r="A153" s="269"/>
      <c r="C153" s="155"/>
    </row>
    <row r="154" spans="1:5">
      <c r="E154" s="155"/>
    </row>
    <row r="155" spans="1:5">
      <c r="A155" s="269"/>
      <c r="C155" s="155"/>
    </row>
    <row r="156" spans="1:5">
      <c r="E156" s="155"/>
    </row>
    <row r="157" spans="1:5">
      <c r="A157" s="269"/>
      <c r="C157" s="155"/>
    </row>
    <row r="158" spans="1:5">
      <c r="E158" s="155"/>
    </row>
    <row r="159" spans="1:5">
      <c r="A159" s="269"/>
      <c r="C159" s="155"/>
    </row>
    <row r="160" spans="1:5">
      <c r="E160" s="155"/>
    </row>
    <row r="161" spans="1:5">
      <c r="A161" s="269"/>
      <c r="C161" s="155"/>
    </row>
    <row r="162" spans="1:5">
      <c r="E162" s="155"/>
    </row>
    <row r="163" spans="1:5">
      <c r="A163" s="269"/>
      <c r="C163" s="155"/>
    </row>
    <row r="164" spans="1:5">
      <c r="E164" s="155"/>
    </row>
    <row r="165" spans="1:5">
      <c r="A165" s="269"/>
      <c r="C165" s="155"/>
    </row>
    <row r="166" spans="1:5">
      <c r="E166" s="155"/>
    </row>
    <row r="167" spans="1:5">
      <c r="A167" s="269"/>
      <c r="C167" s="155"/>
    </row>
    <row r="168" spans="1:5">
      <c r="E168" s="155"/>
    </row>
    <row r="169" spans="1:5">
      <c r="A169" s="269"/>
      <c r="C169" s="155"/>
    </row>
    <row r="170" spans="1:5">
      <c r="E170" s="155"/>
    </row>
    <row r="171" spans="1:5">
      <c r="A171" s="269"/>
      <c r="C171" s="155"/>
    </row>
    <row r="172" spans="1:5">
      <c r="E172" s="155"/>
    </row>
    <row r="173" spans="1:5">
      <c r="A173" s="269"/>
      <c r="C173" s="155"/>
    </row>
    <row r="174" spans="1:5">
      <c r="E174" s="155"/>
    </row>
    <row r="175" spans="1:5">
      <c r="A175" s="269"/>
      <c r="C175" s="155"/>
    </row>
    <row r="176" spans="1:5">
      <c r="E176" s="155"/>
    </row>
    <row r="177" spans="1:5">
      <c r="A177" s="269"/>
      <c r="C177" s="155"/>
    </row>
    <row r="178" spans="1:5">
      <c r="E178" s="155"/>
    </row>
    <row r="179" spans="1:5">
      <c r="A179" s="269"/>
      <c r="C179" s="155"/>
    </row>
    <row r="180" spans="1:5">
      <c r="E180" s="155"/>
    </row>
    <row r="181" spans="1:5">
      <c r="A181" s="269"/>
      <c r="C181" s="155"/>
    </row>
    <row r="182" spans="1:5">
      <c r="E182" s="155"/>
    </row>
    <row r="183" spans="1:5">
      <c r="A183" s="269"/>
      <c r="C183" s="155"/>
    </row>
    <row r="184" spans="1:5">
      <c r="E184" s="155"/>
    </row>
    <row r="185" spans="1:5">
      <c r="A185" s="269"/>
      <c r="C185" s="155"/>
    </row>
    <row r="186" spans="1:5">
      <c r="E186" s="155"/>
    </row>
    <row r="187" spans="1:5">
      <c r="A187" s="269"/>
      <c r="C187" s="155"/>
    </row>
    <row r="188" spans="1:5">
      <c r="E188" s="155"/>
    </row>
    <row r="189" spans="1:5">
      <c r="A189" s="269"/>
      <c r="C189" s="155"/>
    </row>
    <row r="190" spans="1:5">
      <c r="E190" s="155"/>
    </row>
    <row r="191" spans="1:5">
      <c r="A191" s="269"/>
      <c r="C191" s="155"/>
    </row>
    <row r="192" spans="1:5">
      <c r="E192" s="155"/>
    </row>
    <row r="193" spans="1:5">
      <c r="A193" s="269"/>
      <c r="C193" s="155"/>
    </row>
    <row r="194" spans="1:5">
      <c r="E194" s="155"/>
    </row>
    <row r="195" spans="1:5">
      <c r="A195" s="269"/>
      <c r="C195" s="155"/>
    </row>
    <row r="196" spans="1:5">
      <c r="E196" s="155"/>
    </row>
    <row r="197" spans="1:5">
      <c r="A197" s="269"/>
      <c r="C197" s="155"/>
    </row>
    <row r="198" spans="1:5">
      <c r="E198" s="155"/>
    </row>
    <row r="199" spans="1:5">
      <c r="A199" s="269"/>
      <c r="C199" s="155"/>
    </row>
    <row r="200" spans="1:5">
      <c r="E200" s="155"/>
    </row>
    <row r="201" spans="1:5">
      <c r="A201" s="269"/>
      <c r="C201" s="155"/>
    </row>
    <row r="202" spans="1:5">
      <c r="E202" s="155"/>
    </row>
    <row r="203" spans="1:5">
      <c r="A203" s="269"/>
      <c r="D203" s="155"/>
    </row>
    <row r="204" spans="1:5">
      <c r="E204" s="155"/>
    </row>
    <row r="205" spans="1:5">
      <c r="A205" s="269"/>
      <c r="C205" s="155"/>
    </row>
    <row r="206" spans="1:5">
      <c r="E206" s="155"/>
    </row>
    <row r="207" spans="1:5">
      <c r="A207" s="269"/>
      <c r="C207" s="155"/>
    </row>
    <row r="208" spans="1:5">
      <c r="E208" s="155"/>
    </row>
    <row r="209" spans="1:5">
      <c r="A209" s="269"/>
      <c r="C209" s="155"/>
    </row>
    <row r="210" spans="1:5">
      <c r="E210" s="155"/>
    </row>
    <row r="211" spans="1:5">
      <c r="A211" s="269"/>
      <c r="C211" s="155"/>
    </row>
    <row r="212" spans="1:5">
      <c r="E212" s="155"/>
    </row>
    <row r="213" spans="1:5">
      <c r="A213" s="269"/>
      <c r="C213" s="155"/>
    </row>
  </sheetData>
  <mergeCells count="16">
    <mergeCell ref="G27:H27"/>
    <mergeCell ref="B31:D31"/>
    <mergeCell ref="B32:D32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pageSetup orientation="portrait" r:id="rId1"/>
  <drawing r:id="rId2"/>
  <legacyDrawing r:id="rId3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EF7D4-DFB1-4283-A892-D93A09CB9431}">
  <dimension ref="A6:R212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34" t="s">
        <v>3</v>
      </c>
      <c r="C14" s="335"/>
      <c r="D14" s="336"/>
      <c r="E14" s="17">
        <f>SUM(E15:E17)</f>
        <v>2089990.27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37" t="s">
        <v>5</v>
      </c>
      <c r="C15" s="338"/>
      <c r="D15" s="339"/>
      <c r="E15" s="20">
        <f>J16+J17+J18+J19</f>
        <v>2028991.46</v>
      </c>
      <c r="F15" s="153">
        <f>E15+E16+E17</f>
        <v>2089990.27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349" t="s">
        <v>7</v>
      </c>
      <c r="C16" s="350"/>
      <c r="D16" s="351"/>
      <c r="E16" s="20">
        <f>G22+G23</f>
        <v>26159.309999999998</v>
      </c>
      <c r="F16" s="153">
        <v>90000</v>
      </c>
      <c r="G16" s="22">
        <v>7198.32</v>
      </c>
      <c r="H16" s="23" t="s">
        <v>8</v>
      </c>
      <c r="I16" s="24"/>
      <c r="J16" s="25">
        <v>64801.5</v>
      </c>
      <c r="K16" s="26" t="s">
        <v>9</v>
      </c>
      <c r="L16" s="13"/>
      <c r="N16" s="3"/>
    </row>
    <row r="17" spans="2:18">
      <c r="B17" s="352" t="s">
        <v>6</v>
      </c>
      <c r="C17" s="353"/>
      <c r="D17" s="354"/>
      <c r="E17" s="28">
        <f>G16+G17+G18</f>
        <v>34839.5</v>
      </c>
      <c r="F17" s="153">
        <f>+F15-F16</f>
        <v>1999990.27</v>
      </c>
      <c r="G17" s="22">
        <v>17108.07</v>
      </c>
      <c r="H17" s="29" t="s">
        <v>10</v>
      </c>
      <c r="I17" s="30"/>
      <c r="J17" s="25">
        <v>65914.89</v>
      </c>
      <c r="K17" s="31" t="s">
        <v>10</v>
      </c>
      <c r="N17" s="3"/>
    </row>
    <row r="18" spans="2:18">
      <c r="B18" s="236" t="s">
        <v>187</v>
      </c>
      <c r="C18" s="237"/>
      <c r="D18" s="238"/>
      <c r="E18" s="28">
        <f>+J22</f>
        <v>14541.8</v>
      </c>
      <c r="F18" s="153"/>
      <c r="G18" s="22">
        <v>10533.11</v>
      </c>
      <c r="H18" s="29" t="s">
        <v>12</v>
      </c>
      <c r="I18" s="30"/>
      <c r="J18" s="25">
        <v>1624247.02</v>
      </c>
      <c r="K18" s="31" t="s">
        <v>12</v>
      </c>
      <c r="L18" s="152"/>
      <c r="N18" s="3"/>
    </row>
    <row r="19" spans="2:18">
      <c r="B19" s="379" t="s">
        <v>11</v>
      </c>
      <c r="C19" s="380"/>
      <c r="D19" s="381"/>
      <c r="E19" s="20">
        <f>G29+G31+G30+G28</f>
        <v>715418.94000000006</v>
      </c>
      <c r="F19" s="153"/>
      <c r="G19" s="33"/>
      <c r="H19" s="34"/>
      <c r="I19" s="30"/>
      <c r="J19" s="25">
        <v>274028.05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v>15369379.07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SUM(E22:E24)</f>
        <v>0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/>
      <c r="E22" s="190">
        <v>0</v>
      </c>
      <c r="F22" s="153"/>
      <c r="G22" s="44">
        <v>9191.64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187"/>
      <c r="C23" s="188"/>
      <c r="D23" s="198"/>
      <c r="E23" s="190">
        <v>0</v>
      </c>
      <c r="F23" s="153"/>
      <c r="G23" s="44">
        <v>16967.669999999998</v>
      </c>
      <c r="H23" s="29" t="s">
        <v>18</v>
      </c>
      <c r="I23" s="30"/>
      <c r="J23" s="25"/>
      <c r="K23" s="31"/>
    </row>
    <row r="24" spans="2:18" ht="15" thickBot="1">
      <c r="B24" s="206"/>
      <c r="C24" s="205"/>
      <c r="D24" s="208"/>
      <c r="E24" s="190">
        <v>0</v>
      </c>
      <c r="F24" s="220"/>
      <c r="G24" s="51"/>
      <c r="H24" s="34"/>
      <c r="I24" s="30"/>
      <c r="J24" s="210"/>
      <c r="K24" s="53"/>
    </row>
    <row r="25" spans="2:18" ht="15" thickBot="1">
      <c r="B25" s="46" t="s">
        <v>17</v>
      </c>
      <c r="C25" s="47"/>
      <c r="D25" s="48"/>
      <c r="E25" s="234">
        <v>0</v>
      </c>
      <c r="F25" s="153">
        <f>+F17-E25</f>
        <v>1999990.27</v>
      </c>
      <c r="G25" s="331" t="s">
        <v>21</v>
      </c>
      <c r="H25" s="332"/>
      <c r="I25" s="332"/>
      <c r="J25" s="332"/>
      <c r="K25" s="333"/>
      <c r="N25" s="269"/>
      <c r="Q25" s="155"/>
      <c r="R25" s="155"/>
    </row>
    <row r="26" spans="2:18">
      <c r="B26" s="202" t="s">
        <v>163</v>
      </c>
      <c r="C26" s="203"/>
      <c r="D26" s="204"/>
      <c r="E26" s="234">
        <v>0</v>
      </c>
      <c r="F26" s="288">
        <f>SUM(E25:E31)</f>
        <v>423099.6</v>
      </c>
      <c r="G26" s="54"/>
      <c r="H26" s="55"/>
      <c r="I26" s="56"/>
      <c r="J26" s="211"/>
      <c r="K26" s="58"/>
      <c r="N26" s="269"/>
      <c r="P26" s="155"/>
      <c r="R26" s="155"/>
    </row>
    <row r="27" spans="2:18">
      <c r="B27" s="199" t="s">
        <v>22</v>
      </c>
      <c r="C27" s="200"/>
      <c r="D27" s="201"/>
      <c r="E27" s="49">
        <v>23099.599999999999</v>
      </c>
      <c r="F27" s="153">
        <f>+F25-F26</f>
        <v>1576890.67</v>
      </c>
      <c r="G27" s="377" t="s">
        <v>5</v>
      </c>
      <c r="H27" s="378"/>
      <c r="I27" s="59"/>
      <c r="J27" s="60"/>
      <c r="K27" s="45"/>
    </row>
    <row r="28" spans="2:18">
      <c r="B28" s="199" t="s">
        <v>81</v>
      </c>
      <c r="C28" s="200"/>
      <c r="D28" s="201"/>
      <c r="E28" s="49">
        <v>0</v>
      </c>
      <c r="F28" s="221"/>
      <c r="G28" s="22">
        <f>23996.04-11500-8500</f>
        <v>3996.0400000000009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24</v>
      </c>
      <c r="C29" s="200"/>
      <c r="D29" s="201"/>
      <c r="E29" s="49">
        <v>400000</v>
      </c>
      <c r="F29" s="220"/>
      <c r="G29" s="22">
        <f>855840.5- 154326.09</f>
        <v>701514.41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344" t="s">
        <v>25</v>
      </c>
      <c r="C30" s="345"/>
      <c r="D30" s="346"/>
      <c r="E30" s="49">
        <v>0</v>
      </c>
      <c r="F30" s="220"/>
      <c r="G30" s="67">
        <v>1748.82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63" t="s">
        <v>29</v>
      </c>
      <c r="C31" s="364"/>
      <c r="D31" s="365"/>
      <c r="E31" s="66">
        <v>0</v>
      </c>
      <c r="F31" s="220"/>
      <c r="G31" s="71">
        <f>400415.31-392255.64</f>
        <v>8159.6699999999837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61"/>
      <c r="F32" s="220"/>
      <c r="N32" s="269"/>
      <c r="P32" s="155"/>
      <c r="R32" s="155"/>
    </row>
    <row r="33" spans="5:18">
      <c r="E33" s="61"/>
      <c r="F33" s="220"/>
    </row>
    <row r="34" spans="5:18">
      <c r="E34" s="61"/>
      <c r="F34" s="220"/>
      <c r="H34" s="61"/>
      <c r="I34" s="61"/>
      <c r="J34" s="13"/>
      <c r="K34" s="61"/>
      <c r="L34" s="61"/>
      <c r="M34" s="61"/>
      <c r="N34" s="269"/>
      <c r="P34" s="155"/>
      <c r="R34" s="155"/>
    </row>
    <row r="35" spans="5:18">
      <c r="E35" s="8"/>
      <c r="F35" s="220"/>
      <c r="H35" s="61"/>
      <c r="I35" s="61"/>
      <c r="J35" s="13"/>
      <c r="K35" s="61"/>
      <c r="L35" s="61"/>
      <c r="M35" s="61"/>
    </row>
    <row r="36" spans="5:18" s="61" customFormat="1" ht="15" customHeight="1">
      <c r="E36" s="181" t="s">
        <v>345</v>
      </c>
      <c r="F36" s="222"/>
      <c r="G36" s="8"/>
      <c r="H36" s="13"/>
      <c r="J36" s="13"/>
      <c r="K36" s="83"/>
      <c r="L36" s="88"/>
      <c r="N36" s="272"/>
      <c r="P36" s="273"/>
      <c r="R36" s="273"/>
    </row>
    <row r="37" spans="5:18" s="61" customFormat="1" ht="15" customHeight="1">
      <c r="E37" s="181"/>
      <c r="F37" s="222"/>
      <c r="G37" s="181"/>
      <c r="H37" s="161"/>
      <c r="I37" s="197"/>
      <c r="J37" s="13"/>
      <c r="K37" s="83"/>
      <c r="L37" s="161"/>
      <c r="M37" s="197"/>
    </row>
    <row r="38" spans="5:18" s="61" customFormat="1" ht="15" customHeight="1">
      <c r="E38" s="8" t="s">
        <v>34</v>
      </c>
      <c r="F38" s="222">
        <f>F17</f>
        <v>1999990.27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5:18" s="61" customFormat="1" ht="15" customHeight="1">
      <c r="E39" s="8" t="s">
        <v>35</v>
      </c>
      <c r="F39" s="222">
        <f>+E19</f>
        <v>715418.94000000006</v>
      </c>
      <c r="G39" s="86"/>
      <c r="I39" s="197"/>
      <c r="J39" s="13"/>
      <c r="K39" s="85"/>
      <c r="M39" s="197"/>
    </row>
    <row r="40" spans="5:18" s="61" customFormat="1" ht="15" customHeight="1">
      <c r="E40" s="8" t="s">
        <v>36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5:18" s="61" customFormat="1" ht="15" customHeight="1">
      <c r="E41" s="8" t="s">
        <v>37</v>
      </c>
      <c r="F41" s="222">
        <v>0</v>
      </c>
      <c r="G41" s="9"/>
      <c r="I41" s="197"/>
      <c r="J41" s="13"/>
      <c r="M41" s="197"/>
    </row>
    <row r="42" spans="5:18" s="61" customFormat="1" ht="15" customHeight="1">
      <c r="E42" s="182" t="s">
        <v>38</v>
      </c>
      <c r="F42" s="223">
        <f>SUM(F38:F41)</f>
        <v>2715409.21</v>
      </c>
      <c r="G42" s="9"/>
      <c r="I42" s="197"/>
      <c r="J42" s="13"/>
      <c r="M42" s="197"/>
      <c r="N42" s="272"/>
      <c r="P42" s="273"/>
      <c r="R42" s="273"/>
    </row>
    <row r="43" spans="5:18" s="61" customFormat="1" ht="15" customHeight="1">
      <c r="E43" s="183"/>
      <c r="F43" s="224"/>
      <c r="G43" s="9"/>
      <c r="H43" s="163"/>
      <c r="I43" s="229"/>
      <c r="J43" s="13"/>
      <c r="L43" s="163"/>
      <c r="M43" s="229"/>
    </row>
    <row r="44" spans="5:18" s="61" customFormat="1" ht="15" customHeight="1">
      <c r="E44" s="183" t="s">
        <v>152</v>
      </c>
      <c r="F44" s="224">
        <v>115000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5:18" s="61" customFormat="1" ht="15" customHeight="1">
      <c r="E45" s="183" t="s">
        <v>189</v>
      </c>
      <c r="F45" s="224">
        <v>1200000</v>
      </c>
      <c r="G45" s="9"/>
      <c r="H45" s="165"/>
      <c r="I45" s="230"/>
      <c r="J45" s="13"/>
    </row>
    <row r="46" spans="5:18" s="61" customFormat="1" ht="15" customHeight="1">
      <c r="E46" s="183" t="s">
        <v>78</v>
      </c>
      <c r="F46" s="224">
        <v>115000</v>
      </c>
      <c r="G46" s="9"/>
      <c r="H46" s="165"/>
      <c r="I46" s="230"/>
      <c r="J46" s="13"/>
    </row>
    <row r="47" spans="5:18" s="61" customFormat="1" ht="15" customHeight="1">
      <c r="E47" s="183" t="s">
        <v>105</v>
      </c>
      <c r="F47" s="224">
        <v>65000</v>
      </c>
      <c r="G47" s="9"/>
      <c r="H47" s="165"/>
      <c r="I47" s="230"/>
      <c r="J47" s="13"/>
    </row>
    <row r="48" spans="5:18" s="61" customFormat="1" ht="15" customHeight="1">
      <c r="E48" s="183" t="s">
        <v>69</v>
      </c>
      <c r="F48" s="224">
        <v>60000</v>
      </c>
      <c r="G48" s="9"/>
      <c r="H48" s="165"/>
      <c r="I48" s="230"/>
      <c r="J48" s="13"/>
    </row>
    <row r="49" spans="5:13" s="61" customFormat="1" ht="15" customHeight="1">
      <c r="E49" s="116" t="s">
        <v>24</v>
      </c>
      <c r="F49" s="220">
        <f>15000+65000+100000+220000</f>
        <v>400000</v>
      </c>
      <c r="G49" s="9"/>
      <c r="H49" s="165"/>
      <c r="I49" s="230"/>
      <c r="J49" s="13"/>
    </row>
    <row r="50" spans="5:13" s="61" customFormat="1">
      <c r="E50" s="116" t="s">
        <v>22</v>
      </c>
      <c r="F50" s="220">
        <v>50000</v>
      </c>
      <c r="G50" s="8"/>
      <c r="H50" s="91"/>
      <c r="I50" s="231"/>
      <c r="J50" s="13"/>
    </row>
    <row r="51" spans="5:13" s="61" customFormat="1">
      <c r="E51" s="116" t="s">
        <v>346</v>
      </c>
      <c r="F51" s="220">
        <v>50000</v>
      </c>
      <c r="G51" s="8"/>
      <c r="H51" s="96"/>
      <c r="I51" s="231"/>
      <c r="J51" s="262"/>
    </row>
    <row r="52" spans="5:13" s="61" customFormat="1">
      <c r="E52" s="116" t="s">
        <v>347</v>
      </c>
      <c r="F52" s="220">
        <v>500000</v>
      </c>
      <c r="G52" s="8"/>
      <c r="H52" s="96"/>
      <c r="I52" s="231"/>
      <c r="J52" s="262"/>
    </row>
    <row r="53" spans="5:13" s="61" customFormat="1">
      <c r="E53" s="116" t="s">
        <v>40</v>
      </c>
      <c r="F53" s="226">
        <v>100000</v>
      </c>
      <c r="G53" s="8"/>
      <c r="H53" s="96"/>
      <c r="I53" s="231"/>
      <c r="J53" s="262"/>
    </row>
    <row r="54" spans="5:13" s="61" customFormat="1">
      <c r="E54" s="118" t="s">
        <v>41</v>
      </c>
      <c r="F54" s="225">
        <f>SUM(F44:F53)</f>
        <v>2655000</v>
      </c>
      <c r="G54" s="82"/>
      <c r="H54" s="83"/>
      <c r="I54" s="228"/>
      <c r="J54" s="13"/>
    </row>
    <row r="55" spans="5:13" s="61" customFormat="1">
      <c r="E55" s="118" t="s">
        <v>42</v>
      </c>
      <c r="F55" s="225">
        <f>F42-F54</f>
        <v>60409.209999999963</v>
      </c>
      <c r="G55" s="82"/>
      <c r="H55" s="83"/>
      <c r="I55" s="233"/>
      <c r="J55" s="13"/>
      <c r="L55" s="91"/>
      <c r="M55" s="232"/>
    </row>
    <row r="56" spans="5:13" s="61" customFormat="1">
      <c r="E56" s="8"/>
      <c r="F56" s="154"/>
      <c r="G56" s="82"/>
      <c r="H56" s="83"/>
      <c r="I56" s="233"/>
      <c r="J56" s="13"/>
      <c r="L56" s="91"/>
      <c r="M56" s="232"/>
    </row>
    <row r="57" spans="5:13" s="61" customFormat="1">
      <c r="E57" s="82" t="s">
        <v>43</v>
      </c>
      <c r="F57" s="80">
        <f>43800+180000</f>
        <v>223800</v>
      </c>
      <c r="G57" s="82"/>
      <c r="H57" s="83"/>
      <c r="I57" s="233"/>
      <c r="J57" s="13"/>
      <c r="L57" s="96"/>
      <c r="M57" s="231"/>
    </row>
    <row r="58" spans="5:13" s="61" customFormat="1">
      <c r="E58" s="82" t="s">
        <v>44</v>
      </c>
      <c r="F58" s="80">
        <v>365000</v>
      </c>
      <c r="G58" s="82"/>
      <c r="H58" s="96"/>
      <c r="I58" s="228"/>
      <c r="J58" s="13"/>
      <c r="L58" s="96"/>
      <c r="M58" s="233"/>
    </row>
    <row r="59" spans="5:13" s="61" customFormat="1">
      <c r="E59" s="82" t="s">
        <v>45</v>
      </c>
      <c r="F59" s="117">
        <v>0</v>
      </c>
      <c r="G59" s="82"/>
      <c r="H59" s="83"/>
      <c r="I59" s="233"/>
      <c r="J59" s="13"/>
    </row>
    <row r="60" spans="5:13" s="61" customFormat="1">
      <c r="E60" s="82" t="s">
        <v>205</v>
      </c>
      <c r="F60" s="117">
        <v>0</v>
      </c>
      <c r="G60"/>
      <c r="H60" s="96"/>
      <c r="I60" s="219"/>
      <c r="J60" s="13"/>
      <c r="L60" s="83"/>
      <c r="M60" s="228"/>
    </row>
    <row r="61" spans="5:13">
      <c r="E61" s="82" t="s">
        <v>206</v>
      </c>
      <c r="F61" s="117">
        <v>0</v>
      </c>
      <c r="H61" s="61"/>
      <c r="I61" s="61"/>
      <c r="J61" s="13"/>
      <c r="K61" s="61"/>
      <c r="L61" s="61"/>
      <c r="M61" s="61"/>
    </row>
    <row r="62" spans="5:13">
      <c r="E62" s="118" t="s">
        <v>46</v>
      </c>
      <c r="F62" s="120">
        <f>SUM(F57:F61)</f>
        <v>588800</v>
      </c>
      <c r="H62" s="61"/>
      <c r="I62" s="61"/>
      <c r="J62" s="13"/>
      <c r="K62" s="61"/>
      <c r="L62" s="61"/>
      <c r="M62" s="61"/>
    </row>
    <row r="63" spans="5:13">
      <c r="E63" s="82"/>
      <c r="F63" s="80"/>
    </row>
    <row r="64" spans="5:13">
      <c r="E64" s="118" t="s">
        <v>47</v>
      </c>
      <c r="F64" s="120">
        <f>F55-F62</f>
        <v>-528390.79</v>
      </c>
      <c r="G64" s="8"/>
    </row>
    <row r="65" spans="1:7">
      <c r="D65" s="247" t="s">
        <v>192</v>
      </c>
      <c r="E65" s="61"/>
      <c r="F65" s="220"/>
      <c r="G65" s="8"/>
    </row>
    <row r="66" spans="1:7">
      <c r="D66" s="247" t="s">
        <v>194</v>
      </c>
      <c r="E66" s="61"/>
      <c r="F66" s="220"/>
      <c r="G66" s="8"/>
    </row>
    <row r="67" spans="1:7">
      <c r="D67" s="8" t="s">
        <v>9</v>
      </c>
      <c r="E67" s="61"/>
      <c r="F67" s="220"/>
      <c r="G67" s="8"/>
    </row>
    <row r="68" spans="1:7">
      <c r="D68" s="8" t="s">
        <v>195</v>
      </c>
      <c r="E68" s="61"/>
      <c r="F68" s="219"/>
      <c r="G68" s="124">
        <f>SUM(E74:F74)</f>
        <v>0</v>
      </c>
    </row>
    <row r="69" spans="1:7">
      <c r="D69" s="8" t="s">
        <v>188</v>
      </c>
      <c r="E69" s="243"/>
      <c r="F69" s="243"/>
      <c r="G69" s="8"/>
    </row>
    <row r="70" spans="1:7">
      <c r="D70" s="8"/>
      <c r="E70" s="243"/>
      <c r="F70" s="244"/>
    </row>
    <row r="71" spans="1:7">
      <c r="E71" s="245"/>
      <c r="F71" s="246"/>
    </row>
    <row r="72" spans="1:7">
      <c r="E72" s="276"/>
      <c r="F72" s="287"/>
    </row>
    <row r="73" spans="1:7">
      <c r="E73" s="276"/>
      <c r="F73" s="287"/>
    </row>
    <row r="74" spans="1:7">
      <c r="E74" s="127"/>
      <c r="F74" s="287"/>
    </row>
    <row r="75" spans="1:7">
      <c r="E75" s="79"/>
    </row>
    <row r="76" spans="1:7">
      <c r="A76" s="268"/>
      <c r="E76" s="79"/>
    </row>
    <row r="77" spans="1:7">
      <c r="E77" s="79"/>
    </row>
    <row r="78" spans="1:7">
      <c r="E78" s="79"/>
    </row>
    <row r="79" spans="1:7">
      <c r="B79" s="235"/>
      <c r="E79" s="79"/>
    </row>
    <row r="80" spans="1:7">
      <c r="E80" s="79"/>
    </row>
    <row r="81" spans="1:5">
      <c r="E81" s="277"/>
    </row>
    <row r="82" spans="1:5">
      <c r="A82" s="269"/>
      <c r="C82" s="155"/>
      <c r="E82" s="79"/>
    </row>
    <row r="83" spans="1:5">
      <c r="E83" s="277"/>
    </row>
    <row r="84" spans="1:5">
      <c r="A84" s="269"/>
      <c r="C84" s="155"/>
      <c r="E84" s="79"/>
    </row>
    <row r="85" spans="1:5">
      <c r="E85" s="277"/>
    </row>
    <row r="86" spans="1:5">
      <c r="A86" s="269"/>
      <c r="C86" s="155"/>
      <c r="E86" s="79"/>
    </row>
    <row r="87" spans="1:5">
      <c r="E87" s="277"/>
    </row>
    <row r="88" spans="1:5">
      <c r="A88" s="269"/>
      <c r="C88" s="155"/>
      <c r="E88" s="79"/>
    </row>
    <row r="89" spans="1:5">
      <c r="E89" s="277"/>
    </row>
    <row r="90" spans="1:5">
      <c r="A90" s="269"/>
      <c r="C90" s="155"/>
      <c r="E90" s="79"/>
    </row>
    <row r="91" spans="1:5">
      <c r="E91" s="277"/>
    </row>
    <row r="92" spans="1:5">
      <c r="A92" s="269"/>
      <c r="C92" s="155"/>
      <c r="E92" s="79"/>
    </row>
    <row r="93" spans="1:5">
      <c r="E93" s="277"/>
    </row>
    <row r="94" spans="1:5">
      <c r="A94" s="269"/>
      <c r="C94" s="155"/>
      <c r="E94" s="79"/>
    </row>
    <row r="95" spans="1:5">
      <c r="E95" s="277"/>
    </row>
    <row r="96" spans="1:5">
      <c r="A96" s="269"/>
      <c r="C96" s="155"/>
      <c r="E96" s="79"/>
    </row>
    <row r="97" spans="1:5">
      <c r="E97" s="277"/>
    </row>
    <row r="98" spans="1:5">
      <c r="A98" s="269"/>
      <c r="C98" s="155"/>
      <c r="E98" s="79"/>
    </row>
    <row r="99" spans="1:5">
      <c r="E99" s="277"/>
    </row>
    <row r="100" spans="1:5">
      <c r="A100" s="269"/>
      <c r="C100" s="155"/>
      <c r="E100" s="79"/>
    </row>
    <row r="101" spans="1:5">
      <c r="E101" s="277"/>
    </row>
    <row r="102" spans="1:5">
      <c r="A102" s="269"/>
      <c r="C102" s="155"/>
      <c r="E102" s="79"/>
    </row>
    <row r="103" spans="1:5">
      <c r="E103" s="277"/>
    </row>
    <row r="104" spans="1:5">
      <c r="A104" s="269"/>
      <c r="C104" s="155"/>
      <c r="E104" s="79"/>
    </row>
    <row r="105" spans="1:5">
      <c r="E105" s="277"/>
    </row>
    <row r="106" spans="1:5">
      <c r="A106" s="269"/>
      <c r="C106" s="155"/>
      <c r="E106" s="79"/>
    </row>
    <row r="107" spans="1:5">
      <c r="E107" s="277"/>
    </row>
    <row r="108" spans="1:5">
      <c r="A108" s="269"/>
      <c r="C108" s="155"/>
      <c r="E108" s="79"/>
    </row>
    <row r="109" spans="1:5">
      <c r="E109" s="277"/>
    </row>
    <row r="110" spans="1:5">
      <c r="A110" s="269"/>
      <c r="C110" s="155"/>
      <c r="E110" s="79"/>
    </row>
    <row r="111" spans="1:5">
      <c r="E111" s="277"/>
    </row>
    <row r="112" spans="1:5">
      <c r="A112" s="269"/>
      <c r="C112" s="155"/>
      <c r="E112" s="79"/>
    </row>
    <row r="113" spans="1:5">
      <c r="E113" s="277"/>
    </row>
    <row r="114" spans="1:5">
      <c r="A114" s="269"/>
      <c r="C114" s="155"/>
      <c r="E114" s="79"/>
    </row>
    <row r="115" spans="1:5">
      <c r="E115" s="277"/>
    </row>
    <row r="116" spans="1:5">
      <c r="A116" s="269"/>
      <c r="C116" s="155"/>
      <c r="E116" s="79"/>
    </row>
    <row r="117" spans="1:5">
      <c r="E117" s="277"/>
    </row>
    <row r="118" spans="1:5">
      <c r="A118" s="269"/>
      <c r="C118" s="155"/>
      <c r="E118" s="79"/>
    </row>
    <row r="119" spans="1:5">
      <c r="E119" s="277"/>
    </row>
    <row r="120" spans="1:5">
      <c r="A120" s="269"/>
      <c r="C120" s="155"/>
      <c r="E120" s="79"/>
    </row>
    <row r="121" spans="1:5">
      <c r="E121" s="277"/>
    </row>
    <row r="122" spans="1:5">
      <c r="A122" s="269"/>
      <c r="C122" s="155"/>
      <c r="E122" s="79"/>
    </row>
    <row r="123" spans="1:5">
      <c r="E123" s="277"/>
    </row>
    <row r="124" spans="1:5">
      <c r="A124" s="269"/>
      <c r="C124" s="155"/>
      <c r="E124" s="79"/>
    </row>
    <row r="125" spans="1:5">
      <c r="E125" s="277"/>
    </row>
    <row r="126" spans="1:5">
      <c r="A126" s="269"/>
      <c r="C126" s="155"/>
    </row>
    <row r="127" spans="1:5">
      <c r="E127" s="155"/>
    </row>
    <row r="128" spans="1:5">
      <c r="A128" s="269"/>
      <c r="C128" s="155"/>
    </row>
    <row r="129" spans="1:5">
      <c r="E129" s="155"/>
    </row>
    <row r="130" spans="1:5">
      <c r="A130" s="269"/>
      <c r="C130" s="155"/>
    </row>
    <row r="131" spans="1:5">
      <c r="E131" s="155"/>
    </row>
    <row r="132" spans="1:5">
      <c r="A132" s="269"/>
      <c r="C132" s="155"/>
    </row>
    <row r="133" spans="1:5">
      <c r="E133" s="155"/>
    </row>
    <row r="134" spans="1:5">
      <c r="A134" s="269"/>
      <c r="C134" s="155"/>
    </row>
    <row r="135" spans="1:5">
      <c r="E135" s="155"/>
    </row>
    <row r="136" spans="1:5">
      <c r="A136" s="269"/>
      <c r="C136" s="155"/>
    </row>
    <row r="137" spans="1:5">
      <c r="E137" s="155"/>
    </row>
    <row r="138" spans="1:5">
      <c r="A138" s="269"/>
      <c r="C138" s="155"/>
    </row>
    <row r="139" spans="1:5">
      <c r="E139" s="155"/>
    </row>
    <row r="140" spans="1:5">
      <c r="A140" s="269"/>
      <c r="C140" s="155"/>
    </row>
    <row r="141" spans="1:5">
      <c r="E141" s="155"/>
    </row>
    <row r="142" spans="1:5">
      <c r="A142" s="269"/>
      <c r="C142" s="155"/>
    </row>
    <row r="143" spans="1:5">
      <c r="E143" s="155"/>
    </row>
    <row r="144" spans="1:5">
      <c r="A144" s="269"/>
      <c r="C144" s="155"/>
    </row>
    <row r="145" spans="1:5">
      <c r="E145" s="155"/>
    </row>
    <row r="146" spans="1:5">
      <c r="A146" s="269"/>
      <c r="C146" s="155"/>
    </row>
    <row r="147" spans="1:5">
      <c r="E147" s="155"/>
    </row>
    <row r="148" spans="1:5">
      <c r="A148" s="269"/>
      <c r="C148" s="155"/>
    </row>
    <row r="149" spans="1:5">
      <c r="E149" s="155"/>
    </row>
    <row r="150" spans="1:5">
      <c r="A150" s="269"/>
      <c r="C150" s="155"/>
    </row>
    <row r="151" spans="1:5">
      <c r="E151" s="155"/>
    </row>
    <row r="152" spans="1:5">
      <c r="A152" s="269"/>
      <c r="C152" s="155"/>
    </row>
    <row r="153" spans="1:5">
      <c r="E153" s="155"/>
    </row>
    <row r="154" spans="1:5">
      <c r="A154" s="269"/>
      <c r="C154" s="155"/>
    </row>
    <row r="155" spans="1:5">
      <c r="E155" s="155"/>
    </row>
    <row r="156" spans="1:5">
      <c r="A156" s="269"/>
      <c r="C156" s="155"/>
    </row>
    <row r="157" spans="1:5">
      <c r="E157" s="155"/>
    </row>
    <row r="158" spans="1:5">
      <c r="A158" s="269"/>
      <c r="C158" s="155"/>
    </row>
    <row r="159" spans="1:5">
      <c r="E159" s="155"/>
    </row>
    <row r="160" spans="1:5">
      <c r="A160" s="269"/>
      <c r="C160" s="155"/>
    </row>
    <row r="161" spans="1:5">
      <c r="E161" s="155"/>
    </row>
    <row r="162" spans="1:5">
      <c r="A162" s="269"/>
      <c r="C162" s="155"/>
    </row>
    <row r="163" spans="1:5">
      <c r="E163" s="155"/>
    </row>
    <row r="164" spans="1:5">
      <c r="A164" s="269"/>
      <c r="C164" s="155"/>
    </row>
    <row r="165" spans="1:5">
      <c r="E165" s="155"/>
    </row>
    <row r="166" spans="1:5">
      <c r="A166" s="269"/>
      <c r="C166" s="155"/>
    </row>
    <row r="167" spans="1:5">
      <c r="E167" s="155"/>
    </row>
    <row r="168" spans="1:5">
      <c r="A168" s="269"/>
      <c r="C168" s="155"/>
    </row>
    <row r="169" spans="1:5">
      <c r="E169" s="155"/>
    </row>
    <row r="170" spans="1:5">
      <c r="A170" s="269"/>
      <c r="C170" s="155"/>
    </row>
    <row r="171" spans="1:5">
      <c r="E171" s="155"/>
    </row>
    <row r="172" spans="1:5">
      <c r="A172" s="269"/>
      <c r="C172" s="155"/>
    </row>
    <row r="173" spans="1:5">
      <c r="E173" s="155"/>
    </row>
    <row r="174" spans="1:5">
      <c r="A174" s="269"/>
      <c r="C174" s="155"/>
    </row>
    <row r="175" spans="1:5">
      <c r="E175" s="155"/>
    </row>
    <row r="176" spans="1:5">
      <c r="A176" s="269"/>
      <c r="C176" s="155"/>
    </row>
    <row r="177" spans="1:5">
      <c r="E177" s="155"/>
    </row>
    <row r="178" spans="1:5">
      <c r="A178" s="269"/>
      <c r="C178" s="155"/>
    </row>
    <row r="179" spans="1:5">
      <c r="E179" s="155"/>
    </row>
    <row r="180" spans="1:5">
      <c r="A180" s="269"/>
      <c r="C180" s="155"/>
    </row>
    <row r="181" spans="1:5">
      <c r="E181" s="155"/>
    </row>
    <row r="182" spans="1:5">
      <c r="A182" s="269"/>
      <c r="C182" s="155"/>
    </row>
    <row r="183" spans="1:5">
      <c r="E183" s="155"/>
    </row>
    <row r="184" spans="1:5">
      <c r="A184" s="269"/>
      <c r="C184" s="155"/>
    </row>
    <row r="185" spans="1:5">
      <c r="E185" s="155"/>
    </row>
    <row r="186" spans="1:5">
      <c r="A186" s="269"/>
      <c r="C186" s="155"/>
    </row>
    <row r="187" spans="1:5">
      <c r="E187" s="155"/>
    </row>
    <row r="188" spans="1:5">
      <c r="A188" s="269"/>
      <c r="C188" s="155"/>
    </row>
    <row r="189" spans="1:5">
      <c r="E189" s="155"/>
    </row>
    <row r="190" spans="1:5">
      <c r="A190" s="269"/>
      <c r="C190" s="155"/>
    </row>
    <row r="191" spans="1:5">
      <c r="E191" s="155"/>
    </row>
    <row r="192" spans="1:5">
      <c r="A192" s="269"/>
      <c r="C192" s="155"/>
    </row>
    <row r="193" spans="1:5">
      <c r="E193" s="155"/>
    </row>
    <row r="194" spans="1:5">
      <c r="A194" s="269"/>
      <c r="C194" s="155"/>
    </row>
    <row r="195" spans="1:5">
      <c r="E195" s="155"/>
    </row>
    <row r="196" spans="1:5">
      <c r="A196" s="269"/>
      <c r="C196" s="155"/>
    </row>
    <row r="197" spans="1:5">
      <c r="E197" s="155"/>
    </row>
    <row r="198" spans="1:5">
      <c r="A198" s="269"/>
      <c r="C198" s="155"/>
    </row>
    <row r="199" spans="1:5">
      <c r="E199" s="155"/>
    </row>
    <row r="200" spans="1:5">
      <c r="A200" s="269"/>
      <c r="C200" s="155"/>
    </row>
    <row r="201" spans="1:5">
      <c r="E201" s="155"/>
    </row>
    <row r="202" spans="1:5">
      <c r="A202" s="269"/>
      <c r="D202" s="155"/>
    </row>
    <row r="203" spans="1:5">
      <c r="E203" s="155"/>
    </row>
    <row r="204" spans="1:5">
      <c r="A204" s="269"/>
      <c r="C204" s="155"/>
    </row>
    <row r="205" spans="1:5">
      <c r="E205" s="155"/>
    </row>
    <row r="206" spans="1:5">
      <c r="A206" s="269"/>
      <c r="C206" s="155"/>
    </row>
    <row r="207" spans="1:5">
      <c r="E207" s="155"/>
    </row>
    <row r="208" spans="1:5">
      <c r="A208" s="269"/>
      <c r="C208" s="155"/>
    </row>
    <row r="209" spans="1:5">
      <c r="E209" s="155"/>
    </row>
    <row r="210" spans="1:5">
      <c r="A210" s="269"/>
      <c r="C210" s="155"/>
    </row>
    <row r="211" spans="1:5">
      <c r="E211" s="155"/>
    </row>
    <row r="212" spans="1:5">
      <c r="A212" s="269"/>
      <c r="C212" s="155"/>
    </row>
  </sheetData>
  <mergeCells count="16">
    <mergeCell ref="E10:F10"/>
    <mergeCell ref="B12:E12"/>
    <mergeCell ref="B14:D14"/>
    <mergeCell ref="G14:K14"/>
    <mergeCell ref="B15:D15"/>
    <mergeCell ref="G15:H15"/>
    <mergeCell ref="J15:K15"/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</mergeCells>
  <pageMargins left="0.7" right="0.7" top="0.75" bottom="0.75" header="0.3" footer="0.3"/>
  <drawing r:id="rId1"/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9816A-288C-41A9-A224-CD58598A3B48}">
  <dimension ref="A6:R212"/>
  <sheetViews>
    <sheetView showGridLines="0" workbookViewId="0">
      <selection sqref="A1:XFD1048576"/>
    </sheetView>
  </sheetViews>
  <sheetFormatPr baseColWidth="10" defaultRowHeight="14.5"/>
  <cols>
    <col min="2" max="2" width="32" customWidth="1"/>
    <col min="4" max="4" width="13.54296875" bestFit="1" customWidth="1"/>
    <col min="5" max="5" width="29.26953125" bestFit="1" customWidth="1"/>
    <col min="6" max="6" width="18.81640625" style="218" customWidth="1"/>
    <col min="7" max="7" width="15.7265625" customWidth="1"/>
    <col min="8" max="8" width="19.7265625" customWidth="1"/>
    <col min="9" max="9" width="1.453125" customWidth="1"/>
    <col min="10" max="10" width="15.7265625" style="3" customWidth="1"/>
    <col min="11" max="11" width="19.7265625" customWidth="1"/>
    <col min="12" max="12" width="20.26953125" bestFit="1" customWidth="1"/>
    <col min="13" max="13" width="16.26953125" bestFit="1" customWidth="1"/>
    <col min="14" max="14" width="13.7265625" bestFit="1" customWidth="1"/>
    <col min="15" max="15" width="41.54296875" bestFit="1" customWidth="1"/>
  </cols>
  <sheetData>
    <row r="6" spans="1:14" s="8" customFormat="1" ht="18">
      <c r="A6" s="5" t="s">
        <v>20</v>
      </c>
      <c r="B6" s="5"/>
      <c r="C6" s="5"/>
      <c r="D6" s="5"/>
      <c r="E6" s="6" t="s">
        <v>0</v>
      </c>
      <c r="F6" s="216"/>
      <c r="G6" s="5"/>
      <c r="H6" s="5"/>
      <c r="I6" s="5"/>
      <c r="J6" s="209"/>
      <c r="K6" s="5"/>
    </row>
    <row r="7" spans="1:14">
      <c r="A7" s="1"/>
      <c r="B7" s="1"/>
      <c r="C7" s="1"/>
      <c r="D7" s="1"/>
      <c r="E7" s="1"/>
      <c r="F7" s="215"/>
      <c r="G7" s="1"/>
      <c r="H7" s="1"/>
      <c r="I7" s="1"/>
      <c r="J7" s="76"/>
      <c r="K7" s="1"/>
      <c r="L7" t="s">
        <v>20</v>
      </c>
    </row>
    <row r="8" spans="1:14">
      <c r="A8" s="1"/>
      <c r="B8" s="1"/>
      <c r="C8" s="1"/>
      <c r="D8" s="1"/>
      <c r="E8" s="1"/>
      <c r="F8" s="215"/>
      <c r="G8" s="1"/>
      <c r="H8" s="1"/>
      <c r="I8" s="4"/>
      <c r="J8" s="76"/>
      <c r="K8" s="76"/>
    </row>
    <row r="9" spans="1:14">
      <c r="A9" s="1"/>
      <c r="B9" s="1"/>
      <c r="C9" s="1"/>
      <c r="D9" s="1"/>
      <c r="E9" s="1"/>
      <c r="F9" s="215"/>
      <c r="G9" s="1"/>
      <c r="H9" s="1"/>
      <c r="I9" s="4"/>
      <c r="J9" s="76"/>
      <c r="K9" s="1"/>
    </row>
    <row r="10" spans="1:14" ht="18.5">
      <c r="A10" s="1"/>
      <c r="B10" s="1"/>
      <c r="C10" s="1"/>
      <c r="D10" s="1"/>
      <c r="E10" s="369" t="s">
        <v>1</v>
      </c>
      <c r="F10" s="370"/>
      <c r="G10" s="10">
        <f ca="1">TODAY()</f>
        <v>45831</v>
      </c>
      <c r="H10" s="1"/>
      <c r="I10" s="1"/>
      <c r="J10" s="76"/>
      <c r="K10" s="1"/>
    </row>
    <row r="11" spans="1:14" ht="15" thickBot="1">
      <c r="A11" s="1"/>
      <c r="B11" s="1"/>
      <c r="C11" s="1"/>
      <c r="D11" s="1"/>
      <c r="E11" s="1"/>
      <c r="F11" s="215"/>
      <c r="G11" s="1"/>
      <c r="H11" s="1"/>
      <c r="I11" s="1"/>
      <c r="J11" s="76"/>
      <c r="K11" s="1"/>
    </row>
    <row r="12" spans="1:14" ht="18" thickBot="1">
      <c r="A12" s="11"/>
      <c r="B12" s="331" t="s">
        <v>2</v>
      </c>
      <c r="C12" s="332"/>
      <c r="D12" s="332"/>
      <c r="E12" s="333"/>
      <c r="F12" s="264"/>
      <c r="G12" s="1"/>
      <c r="H12" s="1"/>
      <c r="I12" s="1"/>
      <c r="J12" s="76"/>
      <c r="K12" s="1"/>
      <c r="L12" s="13"/>
    </row>
    <row r="13" spans="1:14" ht="18" thickBot="1">
      <c r="A13" s="1"/>
      <c r="B13" s="1"/>
      <c r="C13" s="1"/>
      <c r="D13" s="1"/>
      <c r="E13" s="1"/>
      <c r="F13" s="153"/>
      <c r="G13" s="11"/>
      <c r="H13" s="11"/>
      <c r="I13" s="11"/>
      <c r="J13" s="15"/>
      <c r="K13" s="16"/>
      <c r="L13" s="13"/>
    </row>
    <row r="14" spans="1:14" ht="15" thickBot="1">
      <c r="A14" s="1"/>
      <c r="B14" s="334" t="s">
        <v>3</v>
      </c>
      <c r="C14" s="335"/>
      <c r="D14" s="336"/>
      <c r="E14" s="17">
        <f>SUM(E15:E17)</f>
        <v>2118167.9300000002</v>
      </c>
      <c r="F14" s="153"/>
      <c r="G14" s="331" t="s">
        <v>4</v>
      </c>
      <c r="H14" s="332"/>
      <c r="I14" s="332"/>
      <c r="J14" s="332"/>
      <c r="K14" s="333"/>
      <c r="L14" s="19"/>
    </row>
    <row r="15" spans="1:14">
      <c r="A15" s="1"/>
      <c r="B15" s="337" t="s">
        <v>5</v>
      </c>
      <c r="C15" s="338"/>
      <c r="D15" s="339"/>
      <c r="E15" s="20">
        <f>J16+J17+J18+J19</f>
        <v>1969117.15</v>
      </c>
      <c r="F15" s="153">
        <f>E15+E16+E17</f>
        <v>2118167.9300000002</v>
      </c>
      <c r="G15" s="340" t="s">
        <v>6</v>
      </c>
      <c r="H15" s="341"/>
      <c r="I15" s="21"/>
      <c r="J15" s="342" t="s">
        <v>5</v>
      </c>
      <c r="K15" s="343"/>
      <c r="L15" s="13"/>
    </row>
    <row r="16" spans="1:14">
      <c r="A16" s="1"/>
      <c r="B16" s="349" t="s">
        <v>7</v>
      </c>
      <c r="C16" s="350"/>
      <c r="D16" s="351"/>
      <c r="E16" s="20">
        <f>G22+G23</f>
        <v>26159.309999999998</v>
      </c>
      <c r="F16" s="153">
        <v>90000</v>
      </c>
      <c r="G16" s="22">
        <v>7198.32</v>
      </c>
      <c r="H16" s="23" t="s">
        <v>8</v>
      </c>
      <c r="I16" s="24"/>
      <c r="J16" s="25">
        <v>64801.5</v>
      </c>
      <c r="K16" s="26" t="s">
        <v>9</v>
      </c>
      <c r="L16" s="13"/>
      <c r="N16" s="3"/>
    </row>
    <row r="17" spans="2:18">
      <c r="B17" s="352" t="s">
        <v>6</v>
      </c>
      <c r="C17" s="353"/>
      <c r="D17" s="354"/>
      <c r="E17" s="28">
        <f>G16+G17+G18</f>
        <v>122891.47</v>
      </c>
      <c r="F17" s="153">
        <f>+F15-F16</f>
        <v>2028167.9300000002</v>
      </c>
      <c r="G17" s="22">
        <v>19261.12</v>
      </c>
      <c r="H17" s="29" t="s">
        <v>10</v>
      </c>
      <c r="I17" s="30"/>
      <c r="J17" s="25">
        <v>45914.89</v>
      </c>
      <c r="K17" s="31" t="s">
        <v>10</v>
      </c>
      <c r="N17" s="3"/>
    </row>
    <row r="18" spans="2:18">
      <c r="B18" s="236" t="s">
        <v>187</v>
      </c>
      <c r="C18" s="237"/>
      <c r="D18" s="238"/>
      <c r="E18" s="28">
        <f>+J22</f>
        <v>14541.8</v>
      </c>
      <c r="F18" s="153"/>
      <c r="G18" s="22">
        <v>96432.03</v>
      </c>
      <c r="H18" s="29" t="s">
        <v>12</v>
      </c>
      <c r="I18" s="30"/>
      <c r="J18" s="25">
        <v>1601147.42</v>
      </c>
      <c r="K18" s="31" t="s">
        <v>12</v>
      </c>
      <c r="L18" s="152"/>
      <c r="N18" s="3"/>
    </row>
    <row r="19" spans="2:18">
      <c r="B19" s="379" t="s">
        <v>11</v>
      </c>
      <c r="C19" s="380"/>
      <c r="D19" s="381"/>
      <c r="E19" s="20">
        <f>G29+G31+G30+G28</f>
        <v>415760.24</v>
      </c>
      <c r="F19" s="153"/>
      <c r="G19" s="33"/>
      <c r="H19" s="34"/>
      <c r="I19" s="30"/>
      <c r="J19" s="25">
        <v>257253.34</v>
      </c>
      <c r="K19" s="31" t="s">
        <v>14</v>
      </c>
      <c r="N19" s="268"/>
    </row>
    <row r="20" spans="2:18">
      <c r="B20" s="344" t="s">
        <v>13</v>
      </c>
      <c r="C20" s="345"/>
      <c r="D20" s="346"/>
      <c r="E20" s="20">
        <f>15391569.87-E21</f>
        <v>15305670.949999999</v>
      </c>
      <c r="F20" s="153"/>
      <c r="G20" s="239"/>
      <c r="H20" s="240"/>
      <c r="I20" s="30"/>
      <c r="J20" s="25"/>
      <c r="K20" s="31"/>
    </row>
    <row r="21" spans="2:18">
      <c r="B21" s="187" t="s">
        <v>15</v>
      </c>
      <c r="C21" s="188"/>
      <c r="D21" s="189"/>
      <c r="E21" s="190">
        <f>SUM(E22:E24)</f>
        <v>85898.92</v>
      </c>
      <c r="F21" s="153"/>
      <c r="G21" s="361" t="s">
        <v>16</v>
      </c>
      <c r="H21" s="362"/>
      <c r="I21" s="36"/>
      <c r="J21" s="241" t="s">
        <v>187</v>
      </c>
      <c r="K21" s="242"/>
    </row>
    <row r="22" spans="2:18">
      <c r="B22" s="187"/>
      <c r="C22" s="188"/>
      <c r="D22" s="198" t="s">
        <v>348</v>
      </c>
      <c r="E22" s="190">
        <v>85898.92</v>
      </c>
      <c r="F22" s="153"/>
      <c r="G22" s="44">
        <v>9191.64</v>
      </c>
      <c r="H22" s="29" t="s">
        <v>10</v>
      </c>
      <c r="I22" s="30"/>
      <c r="J22" s="25">
        <v>14541.8</v>
      </c>
      <c r="K22" s="31" t="s">
        <v>188</v>
      </c>
      <c r="O22" s="235"/>
    </row>
    <row r="23" spans="2:18">
      <c r="B23" s="187"/>
      <c r="C23" s="188"/>
      <c r="D23" s="198"/>
      <c r="E23" s="190">
        <v>0</v>
      </c>
      <c r="F23" s="153"/>
      <c r="G23" s="44">
        <v>16967.669999999998</v>
      </c>
      <c r="H23" s="29" t="s">
        <v>18</v>
      </c>
      <c r="I23" s="30"/>
      <c r="J23" s="25"/>
      <c r="K23" s="31"/>
    </row>
    <row r="24" spans="2:18" ht="15" thickBot="1">
      <c r="B24" s="206"/>
      <c r="C24" s="205"/>
      <c r="D24" s="208"/>
      <c r="E24" s="190">
        <v>0</v>
      </c>
      <c r="F24" s="220"/>
      <c r="G24" s="51"/>
      <c r="H24" s="34"/>
      <c r="I24" s="30"/>
      <c r="J24" s="210"/>
      <c r="K24" s="53"/>
    </row>
    <row r="25" spans="2:18" ht="15" thickBot="1">
      <c r="B25" s="46" t="s">
        <v>17</v>
      </c>
      <c r="C25" s="47"/>
      <c r="D25" s="48"/>
      <c r="E25" s="234">
        <f>8000+27903.24</f>
        <v>35903.240000000005</v>
      </c>
      <c r="F25" s="153">
        <f>+F17-E25</f>
        <v>1992264.6900000002</v>
      </c>
      <c r="G25" s="331" t="s">
        <v>21</v>
      </c>
      <c r="H25" s="332"/>
      <c r="I25" s="332"/>
      <c r="J25" s="332"/>
      <c r="K25" s="333"/>
      <c r="N25" s="269"/>
      <c r="Q25" s="155"/>
      <c r="R25" s="155"/>
    </row>
    <row r="26" spans="2:18">
      <c r="B26" s="202" t="s">
        <v>163</v>
      </c>
      <c r="C26" s="203"/>
      <c r="D26" s="204"/>
      <c r="E26" s="234">
        <v>0</v>
      </c>
      <c r="F26" s="288">
        <f>SUM(E25:E31)</f>
        <v>35903.240000000005</v>
      </c>
      <c r="G26" s="54"/>
      <c r="H26" s="55"/>
      <c r="I26" s="56"/>
      <c r="J26" s="211"/>
      <c r="K26" s="58"/>
      <c r="N26" s="269"/>
      <c r="P26" s="155"/>
      <c r="R26" s="155"/>
    </row>
    <row r="27" spans="2:18">
      <c r="B27" s="199" t="s">
        <v>22</v>
      </c>
      <c r="C27" s="200"/>
      <c r="D27" s="201"/>
      <c r="E27" s="49">
        <v>0</v>
      </c>
      <c r="F27" s="153">
        <f>+F25-F26</f>
        <v>1956361.4500000002</v>
      </c>
      <c r="G27" s="377" t="s">
        <v>5</v>
      </c>
      <c r="H27" s="378"/>
      <c r="I27" s="59"/>
      <c r="J27" s="60"/>
      <c r="K27" s="45"/>
    </row>
    <row r="28" spans="2:18">
      <c r="B28" s="199" t="s">
        <v>81</v>
      </c>
      <c r="C28" s="200"/>
      <c r="D28" s="201"/>
      <c r="E28" s="49">
        <v>0</v>
      </c>
      <c r="F28" s="221"/>
      <c r="G28" s="22">
        <f>24001.85-11500-8500</f>
        <v>4001.8499999999985</v>
      </c>
      <c r="H28" s="62" t="s">
        <v>9</v>
      </c>
      <c r="I28" s="59"/>
      <c r="J28" s="60"/>
      <c r="K28" s="45"/>
      <c r="N28" s="269"/>
      <c r="P28" s="155"/>
      <c r="R28" s="155"/>
    </row>
    <row r="29" spans="2:18">
      <c r="B29" s="199" t="s">
        <v>24</v>
      </c>
      <c r="C29" s="200"/>
      <c r="D29" s="201"/>
      <c r="E29" s="49">
        <v>0</v>
      </c>
      <c r="F29" s="220"/>
      <c r="G29" s="22">
        <f>556071.55- 154326.09</f>
        <v>401745.46000000008</v>
      </c>
      <c r="H29" s="62" t="s">
        <v>26</v>
      </c>
      <c r="I29" s="63"/>
      <c r="J29" s="64" t="s">
        <v>27</v>
      </c>
      <c r="K29" s="65" t="s">
        <v>28</v>
      </c>
    </row>
    <row r="30" spans="2:18">
      <c r="B30" s="344" t="s">
        <v>25</v>
      </c>
      <c r="C30" s="345"/>
      <c r="D30" s="346"/>
      <c r="E30" s="49">
        <v>0</v>
      </c>
      <c r="F30" s="220"/>
      <c r="G30" s="67">
        <v>1749.16</v>
      </c>
      <c r="H30" s="68" t="s">
        <v>14</v>
      </c>
      <c r="I30" s="63"/>
      <c r="J30" s="64" t="s">
        <v>30</v>
      </c>
      <c r="K30" s="65" t="s">
        <v>31</v>
      </c>
      <c r="N30" s="269"/>
      <c r="P30" s="155"/>
      <c r="R30" s="155"/>
    </row>
    <row r="31" spans="2:18" ht="15" thickBot="1">
      <c r="B31" s="363" t="s">
        <v>29</v>
      </c>
      <c r="C31" s="364"/>
      <c r="D31" s="365"/>
      <c r="E31" s="66">
        <v>0</v>
      </c>
      <c r="F31" s="220"/>
      <c r="G31" s="71">
        <f>400519.41-392255.64</f>
        <v>8263.7699999999604</v>
      </c>
      <c r="H31" s="72" t="s">
        <v>12</v>
      </c>
      <c r="I31" s="73"/>
      <c r="J31" s="74" t="s">
        <v>32</v>
      </c>
      <c r="K31" s="75" t="s">
        <v>33</v>
      </c>
    </row>
    <row r="32" spans="2:18">
      <c r="E32" s="61"/>
      <c r="F32" s="219"/>
      <c r="N32" s="269"/>
      <c r="P32" s="155"/>
      <c r="R32" s="155"/>
    </row>
    <row r="33" spans="5:18">
      <c r="E33" s="61"/>
      <c r="F33" s="219"/>
    </row>
    <row r="34" spans="5:18">
      <c r="E34" s="61"/>
      <c r="F34" s="219"/>
      <c r="H34" s="61"/>
      <c r="I34" s="61"/>
      <c r="J34" s="13"/>
      <c r="K34" s="61"/>
      <c r="L34" s="61"/>
      <c r="M34" s="61"/>
      <c r="N34" s="269"/>
      <c r="P34" s="155"/>
      <c r="R34" s="155"/>
    </row>
    <row r="35" spans="5:18">
      <c r="E35" s="61"/>
      <c r="F35" s="219"/>
      <c r="H35" s="61"/>
      <c r="I35" s="61"/>
      <c r="J35" s="13"/>
      <c r="K35" s="61"/>
      <c r="L35" s="61"/>
      <c r="M35" s="61"/>
    </row>
    <row r="36" spans="5:18" s="61" customFormat="1" ht="15" customHeight="1">
      <c r="E36" s="181" t="s">
        <v>345</v>
      </c>
      <c r="F36" s="222"/>
      <c r="G36" s="8"/>
      <c r="H36" s="13"/>
      <c r="J36" s="13"/>
      <c r="K36" s="83"/>
      <c r="L36" s="88"/>
      <c r="N36" s="272"/>
      <c r="P36" s="273"/>
      <c r="R36" s="273"/>
    </row>
    <row r="37" spans="5:18" s="61" customFormat="1" ht="15" customHeight="1">
      <c r="E37" s="181"/>
      <c r="F37" s="222"/>
      <c r="G37" s="181"/>
      <c r="H37" s="161"/>
      <c r="I37" s="197"/>
      <c r="J37" s="13"/>
      <c r="K37" s="83"/>
      <c r="L37" s="161"/>
      <c r="M37" s="197"/>
    </row>
    <row r="38" spans="5:18" s="61" customFormat="1" ht="15" customHeight="1">
      <c r="E38" s="8" t="s">
        <v>34</v>
      </c>
      <c r="F38" s="222">
        <f>F17</f>
        <v>2028167.9300000002</v>
      </c>
      <c r="G38" s="86"/>
      <c r="H38" s="161"/>
      <c r="I38" s="197"/>
      <c r="J38" s="13"/>
      <c r="K38" s="83"/>
      <c r="L38" s="161"/>
      <c r="M38" s="197"/>
      <c r="N38" s="272"/>
      <c r="P38" s="273"/>
      <c r="R38" s="273"/>
    </row>
    <row r="39" spans="5:18" s="61" customFormat="1" ht="15" customHeight="1">
      <c r="E39" s="8" t="s">
        <v>35</v>
      </c>
      <c r="F39" s="222">
        <f>+E19</f>
        <v>415760.24</v>
      </c>
      <c r="G39" s="86"/>
      <c r="I39" s="197"/>
      <c r="J39" s="13"/>
      <c r="K39" s="85"/>
      <c r="M39" s="197"/>
    </row>
    <row r="40" spans="5:18" s="61" customFormat="1" ht="15" customHeight="1">
      <c r="E40" s="8" t="s">
        <v>36</v>
      </c>
      <c r="F40" s="222">
        <v>0</v>
      </c>
      <c r="G40" s="86"/>
      <c r="I40" s="214"/>
      <c r="J40" s="13"/>
      <c r="K40" s="87"/>
      <c r="M40" s="197"/>
      <c r="N40" s="272"/>
      <c r="P40" s="273"/>
      <c r="R40" s="273"/>
    </row>
    <row r="41" spans="5:18" s="61" customFormat="1" ht="15" customHeight="1">
      <c r="E41" s="8" t="s">
        <v>37</v>
      </c>
      <c r="F41" s="222">
        <v>0</v>
      </c>
      <c r="G41" s="9"/>
      <c r="I41" s="197"/>
      <c r="J41" s="13"/>
      <c r="M41" s="197"/>
    </row>
    <row r="42" spans="5:18" s="61" customFormat="1" ht="15" customHeight="1">
      <c r="E42" s="182" t="s">
        <v>38</v>
      </c>
      <c r="F42" s="223">
        <f>SUM(F38:F41)</f>
        <v>2443928.17</v>
      </c>
      <c r="G42" s="9"/>
      <c r="I42" s="197"/>
      <c r="J42" s="13"/>
      <c r="M42" s="197"/>
      <c r="N42" s="272"/>
      <c r="P42" s="273"/>
      <c r="R42" s="273"/>
    </row>
    <row r="43" spans="5:18" s="61" customFormat="1" ht="15" customHeight="1">
      <c r="E43" s="183"/>
      <c r="F43" s="224"/>
      <c r="G43" s="9"/>
      <c r="H43" s="163"/>
      <c r="I43" s="229"/>
      <c r="J43" s="13"/>
      <c r="L43" s="163"/>
      <c r="M43" s="229"/>
    </row>
    <row r="44" spans="5:18" s="61" customFormat="1" ht="15" customHeight="1">
      <c r="E44" s="183" t="s">
        <v>152</v>
      </c>
      <c r="F44" s="224">
        <v>115000</v>
      </c>
      <c r="G44" s="9"/>
      <c r="H44" s="165"/>
      <c r="I44" s="230"/>
      <c r="J44" s="13"/>
      <c r="L44" s="165"/>
      <c r="M44" s="230"/>
      <c r="N44" s="272"/>
      <c r="P44" s="273"/>
      <c r="R44" s="273"/>
    </row>
    <row r="45" spans="5:18" s="61" customFormat="1" ht="15" customHeight="1">
      <c r="E45" s="183" t="s">
        <v>189</v>
      </c>
      <c r="F45" s="224">
        <v>1200000</v>
      </c>
      <c r="G45" s="9"/>
      <c r="H45" s="165"/>
      <c r="I45" s="230"/>
      <c r="J45" s="13"/>
    </row>
    <row r="46" spans="5:18" s="61" customFormat="1" ht="15" customHeight="1">
      <c r="E46" s="183" t="s">
        <v>78</v>
      </c>
      <c r="F46" s="224">
        <v>115000</v>
      </c>
      <c r="G46" s="9"/>
      <c r="H46" s="165"/>
      <c r="I46" s="230"/>
      <c r="J46" s="13"/>
    </row>
    <row r="47" spans="5:18" s="61" customFormat="1" ht="15" customHeight="1">
      <c r="E47" s="183" t="s">
        <v>105</v>
      </c>
      <c r="F47" s="224">
        <v>65000</v>
      </c>
      <c r="G47" s="9"/>
      <c r="H47" s="165"/>
      <c r="I47" s="230"/>
      <c r="J47" s="13"/>
    </row>
    <row r="48" spans="5:18" s="61" customFormat="1" ht="15" customHeight="1">
      <c r="E48" s="183" t="s">
        <v>69</v>
      </c>
      <c r="F48" s="224">
        <v>60000</v>
      </c>
      <c r="G48" s="9"/>
      <c r="H48" s="165"/>
      <c r="I48" s="230"/>
      <c r="J48" s="13"/>
    </row>
    <row r="49" spans="5:13" s="61" customFormat="1" ht="15" customHeight="1">
      <c r="E49" s="116" t="s">
        <v>24</v>
      </c>
      <c r="F49" s="220">
        <v>0</v>
      </c>
      <c r="G49" s="9"/>
      <c r="H49" s="165"/>
      <c r="I49" s="230"/>
      <c r="J49" s="13"/>
    </row>
    <row r="50" spans="5:13" s="61" customFormat="1">
      <c r="E50" s="116" t="s">
        <v>22</v>
      </c>
      <c r="F50" s="220">
        <v>50000</v>
      </c>
      <c r="G50" s="8"/>
      <c r="H50" s="91"/>
      <c r="I50" s="231"/>
      <c r="J50" s="13"/>
    </row>
    <row r="51" spans="5:13" s="61" customFormat="1">
      <c r="E51" s="116" t="s">
        <v>346</v>
      </c>
      <c r="F51" s="220">
        <v>50000</v>
      </c>
      <c r="G51" s="8"/>
      <c r="H51" s="96"/>
      <c r="I51" s="231"/>
      <c r="J51" s="262"/>
    </row>
    <row r="52" spans="5:13" s="61" customFormat="1">
      <c r="E52" s="116" t="s">
        <v>347</v>
      </c>
      <c r="F52" s="220">
        <v>500000</v>
      </c>
      <c r="G52" s="8"/>
      <c r="H52" s="96"/>
      <c r="I52" s="231"/>
      <c r="J52" s="262"/>
    </row>
    <row r="53" spans="5:13" s="61" customFormat="1">
      <c r="E53" s="116" t="s">
        <v>40</v>
      </c>
      <c r="F53" s="226">
        <v>100000</v>
      </c>
      <c r="G53" s="8"/>
      <c r="H53" s="96"/>
      <c r="I53" s="231"/>
      <c r="J53" s="262"/>
    </row>
    <row r="54" spans="5:13" s="61" customFormat="1">
      <c r="E54" s="118" t="s">
        <v>41</v>
      </c>
      <c r="F54" s="225">
        <f>SUM(F44:F53)</f>
        <v>2255000</v>
      </c>
      <c r="G54" s="82"/>
      <c r="H54" s="83"/>
      <c r="I54" s="228"/>
      <c r="J54" s="13"/>
    </row>
    <row r="55" spans="5:13" s="61" customFormat="1">
      <c r="E55" s="118" t="s">
        <v>42</v>
      </c>
      <c r="F55" s="225">
        <f>F42-F54</f>
        <v>188928.16999999993</v>
      </c>
      <c r="G55" s="82"/>
      <c r="H55" s="83"/>
      <c r="I55" s="233"/>
      <c r="J55" s="13"/>
      <c r="L55" s="91"/>
      <c r="M55" s="232"/>
    </row>
    <row r="56" spans="5:13" s="61" customFormat="1">
      <c r="E56" s="8"/>
      <c r="F56" s="154"/>
      <c r="G56" s="82"/>
      <c r="H56" s="83"/>
      <c r="I56" s="233"/>
      <c r="J56" s="13"/>
      <c r="L56" s="91"/>
      <c r="M56" s="232"/>
    </row>
    <row r="57" spans="5:13" s="61" customFormat="1">
      <c r="E57" s="82" t="s">
        <v>43</v>
      </c>
      <c r="F57" s="80">
        <f>43800+180000</f>
        <v>223800</v>
      </c>
      <c r="G57" s="82"/>
      <c r="H57" s="83"/>
      <c r="I57" s="233"/>
      <c r="J57" s="13"/>
      <c r="L57" s="96"/>
      <c r="M57" s="231"/>
    </row>
    <row r="58" spans="5:13" s="61" customFormat="1">
      <c r="E58" s="82" t="s">
        <v>44</v>
      </c>
      <c r="F58" s="80">
        <v>365000</v>
      </c>
      <c r="G58" s="82"/>
      <c r="H58" s="96"/>
      <c r="I58" s="228"/>
      <c r="J58" s="13"/>
      <c r="L58" s="96"/>
      <c r="M58" s="233"/>
    </row>
    <row r="59" spans="5:13" s="61" customFormat="1">
      <c r="E59" s="82" t="s">
        <v>45</v>
      </c>
      <c r="F59" s="117">
        <v>0</v>
      </c>
      <c r="G59" s="82"/>
      <c r="H59" s="83"/>
      <c r="I59" s="233"/>
      <c r="J59" s="13"/>
    </row>
    <row r="60" spans="5:13" s="61" customFormat="1">
      <c r="E60" s="82" t="s">
        <v>205</v>
      </c>
      <c r="F60" s="117">
        <v>0</v>
      </c>
      <c r="G60"/>
      <c r="H60" s="96"/>
      <c r="I60" s="219"/>
      <c r="J60" s="13"/>
      <c r="L60" s="83"/>
      <c r="M60" s="228"/>
    </row>
    <row r="61" spans="5:13">
      <c r="E61" s="82" t="s">
        <v>206</v>
      </c>
      <c r="F61" s="117">
        <v>0</v>
      </c>
      <c r="H61" s="61"/>
      <c r="I61" s="61"/>
      <c r="J61" s="13"/>
      <c r="K61" s="61"/>
      <c r="L61" s="61"/>
      <c r="M61" s="61"/>
    </row>
    <row r="62" spans="5:13">
      <c r="E62" s="118" t="s">
        <v>46</v>
      </c>
      <c r="F62" s="120">
        <f>SUM(F57:F61)</f>
        <v>588800</v>
      </c>
      <c r="H62" s="61"/>
      <c r="I62" s="61"/>
      <c r="J62" s="13"/>
      <c r="K62" s="61"/>
      <c r="L62" s="61"/>
      <c r="M62" s="61"/>
    </row>
    <row r="63" spans="5:13">
      <c r="E63" s="82"/>
      <c r="F63" s="80"/>
    </row>
    <row r="64" spans="5:13">
      <c r="E64" s="118" t="s">
        <v>47</v>
      </c>
      <c r="F64" s="120">
        <f>F55-F62</f>
        <v>-399871.83000000007</v>
      </c>
      <c r="G64" s="8"/>
    </row>
    <row r="65" spans="1:7">
      <c r="D65" s="247" t="s">
        <v>192</v>
      </c>
      <c r="E65" s="61"/>
      <c r="F65" s="219"/>
      <c r="G65" s="8"/>
    </row>
    <row r="66" spans="1:7">
      <c r="D66" s="247" t="s">
        <v>194</v>
      </c>
      <c r="E66" s="61"/>
      <c r="F66" s="219"/>
      <c r="G66" s="8"/>
    </row>
    <row r="67" spans="1:7">
      <c r="D67" s="8" t="s">
        <v>9</v>
      </c>
      <c r="E67" s="61"/>
      <c r="F67" s="219"/>
      <c r="G67" s="8"/>
    </row>
    <row r="68" spans="1:7">
      <c r="D68" s="8" t="s">
        <v>195</v>
      </c>
      <c r="E68" s="61"/>
      <c r="F68" s="219"/>
      <c r="G68" s="124">
        <f>SUM(E74:F74)</f>
        <v>0</v>
      </c>
    </row>
    <row r="69" spans="1:7">
      <c r="D69" s="8" t="s">
        <v>188</v>
      </c>
      <c r="E69" s="243"/>
      <c r="F69" s="243"/>
      <c r="G69" s="8"/>
    </row>
    <row r="70" spans="1:7">
      <c r="D70" s="8"/>
      <c r="E70" s="243"/>
      <c r="F70" s="244"/>
    </row>
    <row r="71" spans="1:7">
      <c r="E71" s="245"/>
      <c r="F71" s="246"/>
    </row>
    <row r="72" spans="1:7">
      <c r="E72" s="276"/>
      <c r="F72" s="287"/>
    </row>
    <row r="73" spans="1:7">
      <c r="E73" s="276"/>
      <c r="F73" s="287"/>
    </row>
    <row r="74" spans="1:7">
      <c r="E74" s="127"/>
      <c r="F74" s="287"/>
    </row>
    <row r="75" spans="1:7">
      <c r="E75" s="79"/>
    </row>
    <row r="76" spans="1:7">
      <c r="A76" s="268"/>
      <c r="E76" s="79"/>
    </row>
    <row r="77" spans="1:7">
      <c r="E77" s="79"/>
    </row>
    <row r="78" spans="1:7">
      <c r="E78" s="79"/>
    </row>
    <row r="79" spans="1:7">
      <c r="B79" s="235"/>
      <c r="E79" s="79"/>
    </row>
    <row r="80" spans="1:7">
      <c r="E80" s="79"/>
    </row>
    <row r="81" spans="1:5">
      <c r="E81" s="277"/>
    </row>
    <row r="82" spans="1:5">
      <c r="A82" s="269"/>
      <c r="C82" s="155"/>
      <c r="E82" s="79"/>
    </row>
    <row r="83" spans="1:5">
      <c r="E83" s="277"/>
    </row>
    <row r="84" spans="1:5">
      <c r="A84" s="269"/>
      <c r="C84" s="155"/>
      <c r="E84" s="79"/>
    </row>
    <row r="85" spans="1:5">
      <c r="E85" s="277"/>
    </row>
    <row r="86" spans="1:5">
      <c r="A86" s="269"/>
      <c r="C86" s="155"/>
      <c r="E86" s="79"/>
    </row>
    <row r="87" spans="1:5">
      <c r="E87" s="277"/>
    </row>
    <row r="88" spans="1:5">
      <c r="A88" s="269"/>
      <c r="C88" s="155"/>
      <c r="E88" s="79"/>
    </row>
    <row r="89" spans="1:5">
      <c r="E89" s="277"/>
    </row>
    <row r="90" spans="1:5">
      <c r="A90" s="269"/>
      <c r="C90" s="155"/>
      <c r="E90" s="79"/>
    </row>
    <row r="91" spans="1:5">
      <c r="E91" s="277"/>
    </row>
    <row r="92" spans="1:5">
      <c r="A92" s="269"/>
      <c r="C92" s="155"/>
      <c r="E92" s="79"/>
    </row>
    <row r="93" spans="1:5">
      <c r="E93" s="277"/>
    </row>
    <row r="94" spans="1:5">
      <c r="A94" s="269"/>
      <c r="C94" s="155"/>
      <c r="E94" s="79"/>
    </row>
    <row r="95" spans="1:5">
      <c r="E95" s="277"/>
    </row>
    <row r="96" spans="1:5">
      <c r="A96" s="269"/>
      <c r="C96" s="155"/>
      <c r="E96" s="79"/>
    </row>
    <row r="97" spans="1:5">
      <c r="E97" s="277"/>
    </row>
    <row r="98" spans="1:5">
      <c r="A98" s="269"/>
      <c r="C98" s="155"/>
      <c r="E98" s="79"/>
    </row>
    <row r="99" spans="1:5">
      <c r="E99" s="277"/>
    </row>
    <row r="100" spans="1:5">
      <c r="A100" s="269"/>
      <c r="C100" s="155"/>
      <c r="E100" s="79"/>
    </row>
    <row r="101" spans="1:5">
      <c r="E101" s="277"/>
    </row>
    <row r="102" spans="1:5">
      <c r="A102" s="269"/>
      <c r="C102" s="155"/>
      <c r="E102" s="79"/>
    </row>
    <row r="103" spans="1:5">
      <c r="E103" s="277"/>
    </row>
    <row r="104" spans="1:5">
      <c r="A104" s="269"/>
      <c r="C104" s="155"/>
      <c r="E104" s="79"/>
    </row>
    <row r="105" spans="1:5">
      <c r="E105" s="277"/>
    </row>
    <row r="106" spans="1:5">
      <c r="A106" s="269"/>
      <c r="C106" s="155"/>
      <c r="E106" s="79"/>
    </row>
    <row r="107" spans="1:5">
      <c r="E107" s="277"/>
    </row>
    <row r="108" spans="1:5">
      <c r="A108" s="269"/>
      <c r="C108" s="155"/>
      <c r="E108" s="79"/>
    </row>
    <row r="109" spans="1:5">
      <c r="E109" s="277"/>
    </row>
    <row r="110" spans="1:5">
      <c r="A110" s="269"/>
      <c r="C110" s="155"/>
      <c r="E110" s="79"/>
    </row>
    <row r="111" spans="1:5">
      <c r="E111" s="277"/>
    </row>
    <row r="112" spans="1:5">
      <c r="A112" s="269"/>
      <c r="C112" s="155"/>
      <c r="E112" s="79"/>
    </row>
    <row r="113" spans="1:5">
      <c r="E113" s="277"/>
    </row>
    <row r="114" spans="1:5">
      <c r="A114" s="269"/>
      <c r="C114" s="155"/>
      <c r="E114" s="79"/>
    </row>
    <row r="115" spans="1:5">
      <c r="E115" s="277"/>
    </row>
    <row r="116" spans="1:5">
      <c r="A116" s="269"/>
      <c r="C116" s="155"/>
      <c r="E116" s="79"/>
    </row>
    <row r="117" spans="1:5">
      <c r="E117" s="277"/>
    </row>
    <row r="118" spans="1:5">
      <c r="A118" s="269"/>
      <c r="C118" s="155"/>
      <c r="E118" s="79"/>
    </row>
    <row r="119" spans="1:5">
      <c r="E119" s="277"/>
    </row>
    <row r="120" spans="1:5">
      <c r="A120" s="269"/>
      <c r="C120" s="155"/>
      <c r="E120" s="79"/>
    </row>
    <row r="121" spans="1:5">
      <c r="E121" s="277"/>
    </row>
    <row r="122" spans="1:5">
      <c r="A122" s="269"/>
      <c r="C122" s="155"/>
      <c r="E122" s="79"/>
    </row>
    <row r="123" spans="1:5">
      <c r="E123" s="277"/>
    </row>
    <row r="124" spans="1:5">
      <c r="A124" s="269"/>
      <c r="C124" s="155"/>
      <c r="E124" s="79"/>
    </row>
    <row r="125" spans="1:5">
      <c r="E125" s="277"/>
    </row>
    <row r="126" spans="1:5">
      <c r="A126" s="269"/>
      <c r="C126" s="155"/>
    </row>
    <row r="127" spans="1:5">
      <c r="E127" s="155"/>
    </row>
    <row r="128" spans="1:5">
      <c r="A128" s="269"/>
      <c r="C128" s="155"/>
    </row>
    <row r="129" spans="1:5">
      <c r="E129" s="155"/>
    </row>
    <row r="130" spans="1:5">
      <c r="A130" s="269"/>
      <c r="C130" s="155"/>
    </row>
    <row r="131" spans="1:5">
      <c r="E131" s="155"/>
    </row>
    <row r="132" spans="1:5">
      <c r="A132" s="269"/>
      <c r="C132" s="155"/>
    </row>
    <row r="133" spans="1:5">
      <c r="E133" s="155"/>
    </row>
    <row r="134" spans="1:5">
      <c r="A134" s="269"/>
      <c r="C134" s="155"/>
    </row>
    <row r="135" spans="1:5">
      <c r="E135" s="155"/>
    </row>
    <row r="136" spans="1:5">
      <c r="A136" s="269"/>
      <c r="C136" s="155"/>
    </row>
    <row r="137" spans="1:5">
      <c r="E137" s="155"/>
    </row>
    <row r="138" spans="1:5">
      <c r="A138" s="269"/>
      <c r="C138" s="155"/>
    </row>
    <row r="139" spans="1:5">
      <c r="E139" s="155"/>
    </row>
    <row r="140" spans="1:5">
      <c r="A140" s="269"/>
      <c r="C140" s="155"/>
    </row>
    <row r="141" spans="1:5">
      <c r="E141" s="155"/>
    </row>
    <row r="142" spans="1:5">
      <c r="A142" s="269"/>
      <c r="C142" s="155"/>
    </row>
    <row r="143" spans="1:5">
      <c r="E143" s="155"/>
    </row>
    <row r="144" spans="1:5">
      <c r="A144" s="269"/>
      <c r="C144" s="155"/>
    </row>
    <row r="145" spans="1:5">
      <c r="E145" s="155"/>
    </row>
    <row r="146" spans="1:5">
      <c r="A146" s="269"/>
      <c r="C146" s="155"/>
    </row>
    <row r="147" spans="1:5">
      <c r="E147" s="155"/>
    </row>
    <row r="148" spans="1:5">
      <c r="A148" s="269"/>
      <c r="C148" s="155"/>
    </row>
    <row r="149" spans="1:5">
      <c r="E149" s="155"/>
    </row>
    <row r="150" spans="1:5">
      <c r="A150" s="269"/>
      <c r="C150" s="155"/>
    </row>
    <row r="151" spans="1:5">
      <c r="E151" s="155"/>
    </row>
    <row r="152" spans="1:5">
      <c r="A152" s="269"/>
      <c r="C152" s="155"/>
    </row>
    <row r="153" spans="1:5">
      <c r="E153" s="155"/>
    </row>
    <row r="154" spans="1:5">
      <c r="A154" s="269"/>
      <c r="C154" s="155"/>
    </row>
    <row r="155" spans="1:5">
      <c r="E155" s="155"/>
    </row>
    <row r="156" spans="1:5">
      <c r="A156" s="269"/>
      <c r="C156" s="155"/>
    </row>
    <row r="157" spans="1:5">
      <c r="E157" s="155"/>
    </row>
    <row r="158" spans="1:5">
      <c r="A158" s="269"/>
      <c r="C158" s="155"/>
    </row>
    <row r="159" spans="1:5">
      <c r="E159" s="155"/>
    </row>
    <row r="160" spans="1:5">
      <c r="A160" s="269"/>
      <c r="C160" s="155"/>
    </row>
    <row r="161" spans="1:5">
      <c r="E161" s="155"/>
    </row>
    <row r="162" spans="1:5">
      <c r="A162" s="269"/>
      <c r="C162" s="155"/>
    </row>
    <row r="163" spans="1:5">
      <c r="E163" s="155"/>
    </row>
    <row r="164" spans="1:5">
      <c r="A164" s="269"/>
      <c r="C164" s="155"/>
    </row>
    <row r="165" spans="1:5">
      <c r="E165" s="155"/>
    </row>
    <row r="166" spans="1:5">
      <c r="A166" s="269"/>
      <c r="C166" s="155"/>
    </row>
    <row r="167" spans="1:5">
      <c r="E167" s="155"/>
    </row>
    <row r="168" spans="1:5">
      <c r="A168" s="269"/>
      <c r="C168" s="155"/>
    </row>
    <row r="169" spans="1:5">
      <c r="E169" s="155"/>
    </row>
    <row r="170" spans="1:5">
      <c r="A170" s="269"/>
      <c r="C170" s="155"/>
    </row>
    <row r="171" spans="1:5">
      <c r="E171" s="155"/>
    </row>
    <row r="172" spans="1:5">
      <c r="A172" s="269"/>
      <c r="C172" s="155"/>
    </row>
    <row r="173" spans="1:5">
      <c r="E173" s="155"/>
    </row>
    <row r="174" spans="1:5">
      <c r="A174" s="269"/>
      <c r="C174" s="155"/>
    </row>
    <row r="175" spans="1:5">
      <c r="E175" s="155"/>
    </row>
    <row r="176" spans="1:5">
      <c r="A176" s="269"/>
      <c r="C176" s="155"/>
    </row>
    <row r="177" spans="1:5">
      <c r="E177" s="155"/>
    </row>
    <row r="178" spans="1:5">
      <c r="A178" s="269"/>
      <c r="C178" s="155"/>
    </row>
    <row r="179" spans="1:5">
      <c r="E179" s="155"/>
    </row>
    <row r="180" spans="1:5">
      <c r="A180" s="269"/>
      <c r="C180" s="155"/>
    </row>
    <row r="181" spans="1:5">
      <c r="E181" s="155"/>
    </row>
    <row r="182" spans="1:5">
      <c r="A182" s="269"/>
      <c r="C182" s="155"/>
    </row>
    <row r="183" spans="1:5">
      <c r="E183" s="155"/>
    </row>
    <row r="184" spans="1:5">
      <c r="A184" s="269"/>
      <c r="C184" s="155"/>
    </row>
    <row r="185" spans="1:5">
      <c r="E185" s="155"/>
    </row>
    <row r="186" spans="1:5">
      <c r="A186" s="269"/>
      <c r="C186" s="155"/>
    </row>
    <row r="187" spans="1:5">
      <c r="E187" s="155"/>
    </row>
    <row r="188" spans="1:5">
      <c r="A188" s="269"/>
      <c r="C188" s="155"/>
    </row>
    <row r="189" spans="1:5">
      <c r="E189" s="155"/>
    </row>
    <row r="190" spans="1:5">
      <c r="A190" s="269"/>
      <c r="C190" s="155"/>
    </row>
    <row r="191" spans="1:5">
      <c r="E191" s="155"/>
    </row>
    <row r="192" spans="1:5">
      <c r="A192" s="269"/>
      <c r="C192" s="155"/>
    </row>
    <row r="193" spans="1:5">
      <c r="E193" s="155"/>
    </row>
    <row r="194" spans="1:5">
      <c r="A194" s="269"/>
      <c r="C194" s="155"/>
    </row>
    <row r="195" spans="1:5">
      <c r="E195" s="155"/>
    </row>
    <row r="196" spans="1:5">
      <c r="A196" s="269"/>
      <c r="C196" s="155"/>
    </row>
    <row r="197" spans="1:5">
      <c r="E197" s="155"/>
    </row>
    <row r="198" spans="1:5">
      <c r="A198" s="269"/>
      <c r="C198" s="155"/>
    </row>
    <row r="199" spans="1:5">
      <c r="E199" s="155"/>
    </row>
    <row r="200" spans="1:5">
      <c r="A200" s="269"/>
      <c r="C200" s="155"/>
    </row>
    <row r="201" spans="1:5">
      <c r="E201" s="155"/>
    </row>
    <row r="202" spans="1:5">
      <c r="A202" s="269"/>
      <c r="D202" s="155"/>
    </row>
    <row r="203" spans="1:5">
      <c r="E203" s="155"/>
    </row>
    <row r="204" spans="1:5">
      <c r="A204" s="269"/>
      <c r="C204" s="155"/>
    </row>
    <row r="205" spans="1:5">
      <c r="E205" s="155"/>
    </row>
    <row r="206" spans="1:5">
      <c r="A206" s="269"/>
      <c r="C206" s="155"/>
    </row>
    <row r="207" spans="1:5">
      <c r="E207" s="155"/>
    </row>
    <row r="208" spans="1:5">
      <c r="A208" s="269"/>
      <c r="C208" s="155"/>
    </row>
    <row r="209" spans="1:5">
      <c r="E209" s="155"/>
    </row>
    <row r="210" spans="1:5">
      <c r="A210" s="269"/>
      <c r="C210" s="155"/>
    </row>
    <row r="211" spans="1:5">
      <c r="E211" s="155"/>
    </row>
    <row r="212" spans="1:5">
      <c r="A212" s="269"/>
      <c r="C212" s="155"/>
    </row>
  </sheetData>
  <mergeCells count="16">
    <mergeCell ref="G27:H27"/>
    <mergeCell ref="B30:D30"/>
    <mergeCell ref="B31:D31"/>
    <mergeCell ref="B16:D16"/>
    <mergeCell ref="B17:D17"/>
    <mergeCell ref="B19:D19"/>
    <mergeCell ref="B20:D20"/>
    <mergeCell ref="G21:H21"/>
    <mergeCell ref="G25:K25"/>
    <mergeCell ref="E10:F10"/>
    <mergeCell ref="B12:E12"/>
    <mergeCell ref="B14:D14"/>
    <mergeCell ref="G14:K14"/>
    <mergeCell ref="B15:D15"/>
    <mergeCell ref="G15:H15"/>
    <mergeCell ref="J15:K15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161</vt:i4>
      </vt:variant>
      <vt:variant>
        <vt:lpstr>Rangos con nombre</vt:lpstr>
      </vt:variant>
      <vt:variant>
        <vt:i4>2</vt:i4>
      </vt:variant>
    </vt:vector>
  </HeadingPairs>
  <TitlesOfParts>
    <vt:vector size="163" baseType="lpstr">
      <vt:lpstr>02-ENE</vt:lpstr>
      <vt:lpstr>03-ENE</vt:lpstr>
      <vt:lpstr>04-ENE</vt:lpstr>
      <vt:lpstr>05-ENE</vt:lpstr>
      <vt:lpstr>08-ENE</vt:lpstr>
      <vt:lpstr>09-ENE</vt:lpstr>
      <vt:lpstr>10-ENE</vt:lpstr>
      <vt:lpstr>11-ENE</vt:lpstr>
      <vt:lpstr>12-ENE</vt:lpstr>
      <vt:lpstr>15-ENE</vt:lpstr>
      <vt:lpstr>16-ENE</vt:lpstr>
      <vt:lpstr>17-ENE</vt:lpstr>
      <vt:lpstr>18-ENE</vt:lpstr>
      <vt:lpstr>19-ENE</vt:lpstr>
      <vt:lpstr>23-ENE</vt:lpstr>
      <vt:lpstr>24-ENE</vt:lpstr>
      <vt:lpstr>25-ENE</vt:lpstr>
      <vt:lpstr>26-ENE</vt:lpstr>
      <vt:lpstr>29-ENE</vt:lpstr>
      <vt:lpstr>30-ENE</vt:lpstr>
      <vt:lpstr>31-ENE</vt:lpstr>
      <vt:lpstr>01-FEB</vt:lpstr>
      <vt:lpstr>02-FEB</vt:lpstr>
      <vt:lpstr>06-FEB</vt:lpstr>
      <vt:lpstr>07-FEB</vt:lpstr>
      <vt:lpstr>08-FEB</vt:lpstr>
      <vt:lpstr>09-FEB</vt:lpstr>
      <vt:lpstr>12-FEB</vt:lpstr>
      <vt:lpstr>13-FEB</vt:lpstr>
      <vt:lpstr>14-FEB</vt:lpstr>
      <vt:lpstr>15-FEB</vt:lpstr>
      <vt:lpstr>16-FEB</vt:lpstr>
      <vt:lpstr>19-FEB</vt:lpstr>
      <vt:lpstr>20-FEB</vt:lpstr>
      <vt:lpstr>21-FEB</vt:lpstr>
      <vt:lpstr>22-FEB</vt:lpstr>
      <vt:lpstr>23-FEB</vt:lpstr>
      <vt:lpstr>26-FEB</vt:lpstr>
      <vt:lpstr>27-FEB</vt:lpstr>
      <vt:lpstr>28-FEB</vt:lpstr>
      <vt:lpstr>29-FEB</vt:lpstr>
      <vt:lpstr>01-MAR</vt:lpstr>
      <vt:lpstr>04-MAR</vt:lpstr>
      <vt:lpstr>05-MAR</vt:lpstr>
      <vt:lpstr>06-MAR</vt:lpstr>
      <vt:lpstr>07-MAR</vt:lpstr>
      <vt:lpstr>08-MAR</vt:lpstr>
      <vt:lpstr>11-MAR</vt:lpstr>
      <vt:lpstr>12-MAR</vt:lpstr>
      <vt:lpstr>13-MAR</vt:lpstr>
      <vt:lpstr>14-MAR</vt:lpstr>
      <vt:lpstr>15-MAR</vt:lpstr>
      <vt:lpstr>19-MAR</vt:lpstr>
      <vt:lpstr>20-MAR</vt:lpstr>
      <vt:lpstr>21-MAR</vt:lpstr>
      <vt:lpstr>22-MAR</vt:lpstr>
      <vt:lpstr>25-MAR</vt:lpstr>
      <vt:lpstr>26-MAR</vt:lpstr>
      <vt:lpstr>27-MAR</vt:lpstr>
      <vt:lpstr>01-ABR</vt:lpstr>
      <vt:lpstr>02-ABR</vt:lpstr>
      <vt:lpstr>03-ABR</vt:lpstr>
      <vt:lpstr>04-ABR</vt:lpstr>
      <vt:lpstr>05-ABR</vt:lpstr>
      <vt:lpstr>08-ABR</vt:lpstr>
      <vt:lpstr>09-ABR</vt:lpstr>
      <vt:lpstr>10-ABR</vt:lpstr>
      <vt:lpstr>11-ABR</vt:lpstr>
      <vt:lpstr>12-ABR</vt:lpstr>
      <vt:lpstr>15-ABR</vt:lpstr>
      <vt:lpstr>16-ABR</vt:lpstr>
      <vt:lpstr>17-ABR</vt:lpstr>
      <vt:lpstr>18-ABR</vt:lpstr>
      <vt:lpstr>19-ABR</vt:lpstr>
      <vt:lpstr>22-ABR</vt:lpstr>
      <vt:lpstr>23-ABR</vt:lpstr>
      <vt:lpstr>24-ABR</vt:lpstr>
      <vt:lpstr>25-ABR</vt:lpstr>
      <vt:lpstr>26-ABR</vt:lpstr>
      <vt:lpstr>29-ABR</vt:lpstr>
      <vt:lpstr>30-ABR</vt:lpstr>
      <vt:lpstr>02-MAY</vt:lpstr>
      <vt:lpstr>06-MAY</vt:lpstr>
      <vt:lpstr>07-MAY</vt:lpstr>
      <vt:lpstr>08-MAY</vt:lpstr>
      <vt:lpstr>10-MAY</vt:lpstr>
      <vt:lpstr>13-MAY</vt:lpstr>
      <vt:lpstr>14-MAY</vt:lpstr>
      <vt:lpstr>15-MAY</vt:lpstr>
      <vt:lpstr>16-MAY</vt:lpstr>
      <vt:lpstr>17-MAY</vt:lpstr>
      <vt:lpstr>20-MAY</vt:lpstr>
      <vt:lpstr>21-MAY</vt:lpstr>
      <vt:lpstr>22-MAY</vt:lpstr>
      <vt:lpstr>23-MAY</vt:lpstr>
      <vt:lpstr>24-MAY</vt:lpstr>
      <vt:lpstr>27-MAY</vt:lpstr>
      <vt:lpstr>28-MAY</vt:lpstr>
      <vt:lpstr>29-MAY</vt:lpstr>
      <vt:lpstr>30-MAY</vt:lpstr>
      <vt:lpstr>31-MAY</vt:lpstr>
      <vt:lpstr>03-JUN</vt:lpstr>
      <vt:lpstr>04-JUN</vt:lpstr>
      <vt:lpstr>05-JUN</vt:lpstr>
      <vt:lpstr>06-JUN</vt:lpstr>
      <vt:lpstr>07-JUN</vt:lpstr>
      <vt:lpstr>10-JUN</vt:lpstr>
      <vt:lpstr>11-JUN</vt:lpstr>
      <vt:lpstr>12-JUN</vt:lpstr>
      <vt:lpstr>13-JUN</vt:lpstr>
      <vt:lpstr>14-JUN</vt:lpstr>
      <vt:lpstr>15-JUL</vt:lpstr>
      <vt:lpstr>16-JUL</vt:lpstr>
      <vt:lpstr>18-JUL</vt:lpstr>
      <vt:lpstr>19-JUL</vt:lpstr>
      <vt:lpstr>22-JUL</vt:lpstr>
      <vt:lpstr>23-JUL</vt:lpstr>
      <vt:lpstr>24-JUL</vt:lpstr>
      <vt:lpstr>25-JUL</vt:lpstr>
      <vt:lpstr>26-JUL</vt:lpstr>
      <vt:lpstr>29-JUL</vt:lpstr>
      <vt:lpstr>30-JUL</vt:lpstr>
      <vt:lpstr>31-JUL</vt:lpstr>
      <vt:lpstr>01-AGO</vt:lpstr>
      <vt:lpstr>02-AGO</vt:lpstr>
      <vt:lpstr>05-AGO</vt:lpstr>
      <vt:lpstr>07-AGO</vt:lpstr>
      <vt:lpstr>08-AGO</vt:lpstr>
      <vt:lpstr>09-AGO</vt:lpstr>
      <vt:lpstr>12-AGO</vt:lpstr>
      <vt:lpstr>13-AGO</vt:lpstr>
      <vt:lpstr>14-AGO</vt:lpstr>
      <vt:lpstr>15-AGO</vt:lpstr>
      <vt:lpstr>16-AGO</vt:lpstr>
      <vt:lpstr>19-AGO</vt:lpstr>
      <vt:lpstr>20-AGO</vt:lpstr>
      <vt:lpstr>21-AGO</vt:lpstr>
      <vt:lpstr>22-AGO</vt:lpstr>
      <vt:lpstr>23-AGO</vt:lpstr>
      <vt:lpstr>27-AGO</vt:lpstr>
      <vt:lpstr>28-AGO</vt:lpstr>
      <vt:lpstr>29-AGO</vt:lpstr>
      <vt:lpstr>30-AGO</vt:lpstr>
      <vt:lpstr>02-SEP</vt:lpstr>
      <vt:lpstr>03-SEP</vt:lpstr>
      <vt:lpstr>04-SEP</vt:lpstr>
      <vt:lpstr>05-SEP</vt:lpstr>
      <vt:lpstr>06-SEP</vt:lpstr>
      <vt:lpstr>09-SEP</vt:lpstr>
      <vt:lpstr>10-SEP</vt:lpstr>
      <vt:lpstr>11-SEP</vt:lpstr>
      <vt:lpstr>12-SEP</vt:lpstr>
      <vt:lpstr>18-SEP</vt:lpstr>
      <vt:lpstr>19-SEP</vt:lpstr>
      <vt:lpstr>23-SEP</vt:lpstr>
      <vt:lpstr>24-SEP</vt:lpstr>
      <vt:lpstr>25-SEP</vt:lpstr>
      <vt:lpstr>26-SEP</vt:lpstr>
      <vt:lpstr>27-SEP</vt:lpstr>
      <vt:lpstr>F1PNO-CYA-05.01</vt:lpstr>
      <vt:lpstr>Hoja2</vt:lpstr>
      <vt:lpstr>'27-MAY'!Área_de_impresión</vt:lpstr>
      <vt:lpstr>'F1PNO-CYA-05.01'!Área_de_impresión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Finanzas Finazas</dc:creator>
  <cp:lastModifiedBy>Sistemas</cp:lastModifiedBy>
  <cp:lastPrinted>2024-10-02T14:58:33Z</cp:lastPrinted>
  <dcterms:created xsi:type="dcterms:W3CDTF">2024-01-02T15:18:32Z</dcterms:created>
  <dcterms:modified xsi:type="dcterms:W3CDTF">2025-06-23T17:12:35Z</dcterms:modified>
</cp:coreProperties>
</file>